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9735" firstSheet="62" activeTab="63"/>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Drinking Water" sheetId="151"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9_K_D" sheetId="72" r:id="rId64"/>
    <sheet name="NEW ITEM K_D" sheetId="154" state="hidden" r:id="rId65"/>
    <sheet name="AT-30_Coook-cum-Helper" sheetId="65" r:id="rId66"/>
    <sheet name="AT_31_Budget_provision " sheetId="98" r:id="rId67"/>
    <sheet name="AT32_Drought Pry Util" sheetId="148" r:id="rId68"/>
    <sheet name="AT-32A Drought UPry Util" sheetId="149" r:id="rId69"/>
  </sheets>
  <externalReferences>
    <externalReference r:id="rId70"/>
  </externalReferences>
  <definedNames>
    <definedName name="_xlnm.Print_Area" localSheetId="43">'AT_17_Coverage-RBSK '!$A$1:$L$38</definedName>
    <definedName name="_xlnm.Print_Area" localSheetId="45">AT_19_Impl_Agency!$A$1:$J$39</definedName>
    <definedName name="_xlnm.Print_Area" localSheetId="46">'AT_20_CentralCookingagency '!$A$1:$M$35</definedName>
    <definedName name="_xlnm.Print_Area" localSheetId="61">AT_28_RqmtKitchen!$A$1:$S$33</definedName>
    <definedName name="_xlnm.Print_Area" localSheetId="5">AT_2A_fundflow!$A$1:$V$26</definedName>
    <definedName name="_xlnm.Print_Area" localSheetId="66">'AT_31_Budget_provision '!$A$1:$W$30</definedName>
    <definedName name="_xlnm.Print_Area" localSheetId="29">'AT-10 B'!$A$1:$J$33</definedName>
    <definedName name="_xlnm.Print_Area" localSheetId="30">'AT-10 C'!$A$1:$J$22</definedName>
    <definedName name="_xlnm.Print_Area" localSheetId="32">'AT-10 E'!$A$1:$G$49</definedName>
    <definedName name="_xlnm.Print_Area" localSheetId="33">'AT-10 F Drinking Water'!$A$1:$O$50</definedName>
    <definedName name="_xlnm.Print_Area" localSheetId="27">AT10_MME!$A$1:$H$32</definedName>
    <definedName name="_xlnm.Print_Area" localSheetId="28">AT10A_!$A$1:$E$34</definedName>
    <definedName name="_xlnm.Print_Area" localSheetId="31">'AT-10D'!$A$1:$H$29</definedName>
    <definedName name="_xlnm.Print_Area" localSheetId="34">'AT11_KS Year wise'!$A$1:$K$32</definedName>
    <definedName name="_xlnm.Print_Area" localSheetId="35">'AT11A_KS-District wise'!$A$1:$K$35</definedName>
    <definedName name="_xlnm.Print_Area" localSheetId="36">'AT12_KD-New'!$A$1:$K$36</definedName>
    <definedName name="_xlnm.Print_Area" localSheetId="37">'AT12A_KD-Replacement'!$A$1:$K$34</definedName>
    <definedName name="_xlnm.Print_Area" localSheetId="39">'AT-14'!$A$1:$N$30</definedName>
    <definedName name="_xlnm.Print_Area" localSheetId="40">'AT-14 A'!$A$1:$H$32</definedName>
    <definedName name="_xlnm.Print_Area" localSheetId="41">'AT-15'!$A$1:$L$24</definedName>
    <definedName name="_xlnm.Print_Area" localSheetId="42">'AT-16'!$A$1:$K$32</definedName>
    <definedName name="_xlnm.Print_Area" localSheetId="44">'AT18_Details_Community '!$A$1:$F$34</definedName>
    <definedName name="_xlnm.Print_Area" localSheetId="3">'AT-1-Gen_Info '!$A$1:$T$58</definedName>
    <definedName name="_xlnm.Print_Area" localSheetId="51">'AT-24'!$A$1:$M$33</definedName>
    <definedName name="_xlnm.Print_Area" localSheetId="54">AT26_NoWD!$A$1:$L$31</definedName>
    <definedName name="_xlnm.Print_Area" localSheetId="55">AT26A_NoWD!$A$1:$K$32</definedName>
    <definedName name="_xlnm.Print_Area" localSheetId="56">AT27_Req_FG_CA_Pry!$A$1:$R$53</definedName>
    <definedName name="_xlnm.Print_Area" localSheetId="57">'AT27A_Req_FG_CA_U Pry '!$A$1:$R$54</definedName>
    <definedName name="_xlnm.Print_Area" localSheetId="58">'AT27B_Req_FG_CA_N CLP'!$A$1:$P$53</definedName>
    <definedName name="_xlnm.Print_Area" localSheetId="59">'AT27C_Req_FG_Drought -Pry '!$A$1:$P$33</definedName>
    <definedName name="_xlnm.Print_Area" localSheetId="60">'AT27D_Req_FG_Drought -UPry '!$A$1:$Q$34</definedName>
    <definedName name="_xlnm.Print_Area" localSheetId="62">'AT-28A_RqmtPlinthArea'!$A$1:$S$32</definedName>
    <definedName name="_xlnm.Print_Area" localSheetId="63">AT29_K_D!$A$1:$AF$30</definedName>
    <definedName name="_xlnm.Print_Area" localSheetId="4">'AT-2-S1 BUDGET'!$A$1:$V$28</definedName>
    <definedName name="_xlnm.Print_Area" localSheetId="65">'AT-30_Coook-cum-Helper'!$A$1:$L$32</definedName>
    <definedName name="_xlnm.Print_Area" localSheetId="67">'AT32_Drought Pry Util'!$A$1:$J$34</definedName>
    <definedName name="_xlnm.Print_Area" localSheetId="68">'AT-32A Drought UPry Util'!$A$1:$J$33</definedName>
    <definedName name="_xlnm.Print_Area" localSheetId="7">'AT3A_cvrg(Insti)_PY'!$A$1:$N$39</definedName>
    <definedName name="_xlnm.Print_Area" localSheetId="8">'AT3B_cvrg(Insti)_UPY '!$A$1:$N$39</definedName>
    <definedName name="_xlnm.Print_Area" localSheetId="9">'AT3C_cvrg(Insti)_UPY '!$A$1:$N$39</definedName>
    <definedName name="_xlnm.Print_Area" localSheetId="24">'AT-8_Hon_CCH_Pry'!$A$1:$V$38</definedName>
    <definedName name="_xlnm.Print_Area" localSheetId="25">'AT-8A_Hon_CCH_UPry'!$A$1:$V$37</definedName>
    <definedName name="_xlnm.Print_Area" localSheetId="26">AT9_TA!$A$1:$H$33</definedName>
    <definedName name="_xlnm.Print_Area" localSheetId="1">Contents!$A$1:$C$66</definedName>
    <definedName name="_xlnm.Print_Area" localSheetId="10">'enrolment vs availed_PY'!$A$1:$Q$37</definedName>
    <definedName name="_xlnm.Print_Area" localSheetId="11">'enrolment vs availed_UPY'!$A$1:$Q$38</definedName>
    <definedName name="_xlnm.Print_Area" localSheetId="38">'Mode of cooking'!$A$1:$H$31</definedName>
    <definedName name="_xlnm.Print_Area" localSheetId="2">Sheet1!$A$1:$J$24</definedName>
    <definedName name="_xlnm.Print_Area" localSheetId="53">'Sheet1 (2)'!$A$1:$J$24</definedName>
    <definedName name="_xlnm.Print_Area" localSheetId="13">T5_PLAN_vs_PRFM!$A$1:$J$35</definedName>
    <definedName name="_xlnm.Print_Area" localSheetId="14">'T5A_PLAN_vs_PRFM '!$A$1:$J$35</definedName>
    <definedName name="_xlnm.Print_Area" localSheetId="15">'T5B_PLAN_vs_PRFM  (2)'!$A$1:$J$32</definedName>
    <definedName name="_xlnm.Print_Area" localSheetId="16">'T5C_Drought_PLAN_vs_PRFM '!$A$1:$J$29</definedName>
    <definedName name="_xlnm.Print_Area" localSheetId="17">'T5D_Drought_PLAN_vs_PRFM  '!$A$1:$J$32</definedName>
    <definedName name="_xlnm.Print_Area" localSheetId="18">T6_FG_py_Utlsn!$A$1:$L$35</definedName>
    <definedName name="_xlnm.Print_Area" localSheetId="19">'T6A_FG_Upy_Utlsn '!$A$1:$L$36</definedName>
    <definedName name="_xlnm.Print_Area" localSheetId="20">T6B_Pay_FG_FCI_Pry!$A$1:$M$34</definedName>
    <definedName name="_xlnm.Print_Area" localSheetId="21">T6C_Coarse_Grain!$A$1:$L$36</definedName>
    <definedName name="_xlnm.Print_Area" localSheetId="22">T7_CC_PY_Utlsn!$A$1:$Q$37</definedName>
    <definedName name="_xlnm.Print_Area" localSheetId="23">'T7ACC_UPY_Utlsn '!$A$1:$Q$36</definedName>
  </definedNames>
  <calcPr calcId="125725"/>
</workbook>
</file>

<file path=xl/calcChain.xml><?xml version="1.0" encoding="utf-8"?>
<calcChain xmlns="http://schemas.openxmlformats.org/spreadsheetml/2006/main">
  <c r="C43" i="139"/>
  <c r="E43" i="117" l="1"/>
  <c r="F16" i="149" l="1"/>
  <c r="H16"/>
  <c r="J16"/>
  <c r="L16"/>
  <c r="D16"/>
  <c r="F15" i="148"/>
  <c r="H15"/>
  <c r="J15"/>
  <c r="L15"/>
  <c r="D15"/>
  <c r="G11" i="60" l="1"/>
  <c r="F43" i="151" l="1"/>
  <c r="D43"/>
  <c r="E43"/>
  <c r="G43"/>
  <c r="H43"/>
  <c r="I43"/>
  <c r="C43"/>
  <c r="D42" i="154" l="1"/>
  <c r="D41"/>
  <c r="D40"/>
  <c r="D39"/>
  <c r="D38"/>
  <c r="D37"/>
  <c r="D36"/>
  <c r="D35"/>
  <c r="D34"/>
  <c r="D33"/>
  <c r="D32"/>
  <c r="D31"/>
  <c r="D30"/>
  <c r="D29"/>
  <c r="D28"/>
  <c r="D27"/>
  <c r="D26"/>
  <c r="D25"/>
  <c r="D24"/>
  <c r="D23"/>
  <c r="D22"/>
  <c r="D21"/>
  <c r="D20"/>
  <c r="D19"/>
  <c r="D18"/>
  <c r="D17"/>
  <c r="D16"/>
  <c r="D15"/>
  <c r="D14"/>
  <c r="D13"/>
  <c r="D12"/>
  <c r="D11"/>
  <c r="D10"/>
  <c r="C45" i="4"/>
  <c r="F10" i="141"/>
  <c r="F11"/>
  <c r="F12"/>
  <c r="F13"/>
  <c r="F14"/>
  <c r="F15"/>
  <c r="F16"/>
  <c r="F17"/>
  <c r="F18"/>
  <c r="F19"/>
  <c r="F20"/>
  <c r="F21"/>
  <c r="F22"/>
  <c r="F23"/>
  <c r="F24"/>
  <c r="F25"/>
  <c r="F26"/>
  <c r="F27"/>
  <c r="F28"/>
  <c r="F29"/>
  <c r="F30"/>
  <c r="F31"/>
  <c r="F32"/>
  <c r="F33"/>
  <c r="F34"/>
  <c r="F35"/>
  <c r="F36"/>
  <c r="F37"/>
  <c r="F38"/>
  <c r="F39"/>
  <c r="F40"/>
  <c r="F9"/>
  <c r="F8"/>
  <c r="F4"/>
  <c r="D41"/>
  <c r="E41"/>
  <c r="G41"/>
  <c r="C41"/>
  <c r="G37" i="58"/>
  <c r="F41" i="141" l="1"/>
  <c r="K46" i="86"/>
  <c r="D47" i="7"/>
  <c r="E47"/>
  <c r="F47"/>
  <c r="G47"/>
  <c r="H47"/>
  <c r="I47"/>
  <c r="J47"/>
  <c r="K47"/>
  <c r="L47"/>
  <c r="M47"/>
  <c r="N47"/>
  <c r="O47"/>
  <c r="P47"/>
  <c r="Q47"/>
  <c r="C47"/>
  <c r="N46" i="75"/>
  <c r="D46"/>
  <c r="E46"/>
  <c r="F46"/>
  <c r="G46"/>
  <c r="H46"/>
  <c r="I46"/>
  <c r="J46"/>
  <c r="K46"/>
  <c r="L46"/>
  <c r="M46"/>
  <c r="O46"/>
  <c r="P46"/>
  <c r="Q46"/>
  <c r="C46"/>
  <c r="O47" i="88"/>
  <c r="N47"/>
  <c r="D47"/>
  <c r="C47"/>
  <c r="H47"/>
  <c r="D46" i="86"/>
  <c r="E46"/>
  <c r="F46"/>
  <c r="G46"/>
  <c r="H46"/>
  <c r="I46"/>
  <c r="J46"/>
  <c r="L46"/>
  <c r="M46"/>
  <c r="C46"/>
  <c r="K44" i="62" l="1"/>
  <c r="D44"/>
  <c r="E44"/>
  <c r="L44"/>
  <c r="M44"/>
  <c r="N44"/>
  <c r="P44"/>
  <c r="Q44"/>
  <c r="R44"/>
  <c r="C44"/>
  <c r="Q10" i="117"/>
  <c r="R10" s="1"/>
  <c r="O30"/>
  <c r="Q30" s="1"/>
  <c r="R30" s="1"/>
  <c r="S11"/>
  <c r="S12"/>
  <c r="S13"/>
  <c r="S14"/>
  <c r="S15"/>
  <c r="S16"/>
  <c r="S17"/>
  <c r="S18"/>
  <c r="S19"/>
  <c r="S20"/>
  <c r="S21"/>
  <c r="S22"/>
  <c r="S23"/>
  <c r="S24"/>
  <c r="S25"/>
  <c r="S26"/>
  <c r="S27"/>
  <c r="S28"/>
  <c r="S29"/>
  <c r="S30"/>
  <c r="S31"/>
  <c r="S32"/>
  <c r="S33"/>
  <c r="S34"/>
  <c r="S35"/>
  <c r="S36"/>
  <c r="S37"/>
  <c r="S38"/>
  <c r="S39"/>
  <c r="S40"/>
  <c r="S41"/>
  <c r="S42"/>
  <c r="S10"/>
  <c r="R8"/>
  <c r="O26"/>
  <c r="N43" s="1"/>
  <c r="C43"/>
  <c r="H1"/>
  <c r="Q15"/>
  <c r="R15" s="1"/>
  <c r="M43"/>
  <c r="G10"/>
  <c r="P43"/>
  <c r="O24"/>
  <c r="Q24" s="1"/>
  <c r="R24" s="1"/>
  <c r="O40"/>
  <c r="Q40" s="1"/>
  <c r="R40" s="1"/>
  <c r="O14"/>
  <c r="Q14" s="1"/>
  <c r="R14" s="1"/>
  <c r="O21"/>
  <c r="Q21" s="1"/>
  <c r="R21" s="1"/>
  <c r="L43"/>
  <c r="K43"/>
  <c r="Q11"/>
  <c r="R11" s="1"/>
  <c r="O13"/>
  <c r="Q13" s="1"/>
  <c r="R13" s="1"/>
  <c r="Q16"/>
  <c r="R16" s="1"/>
  <c r="O17"/>
  <c r="Q17" s="1"/>
  <c r="R17" s="1"/>
  <c r="O18"/>
  <c r="Q18" s="1"/>
  <c r="R18" s="1"/>
  <c r="O19"/>
  <c r="Q19" s="1"/>
  <c r="R19" s="1"/>
  <c r="O20"/>
  <c r="Q20" s="1"/>
  <c r="R20" s="1"/>
  <c r="O22"/>
  <c r="Q22" s="1"/>
  <c r="R22" s="1"/>
  <c r="O23"/>
  <c r="Q23" s="1"/>
  <c r="R23" s="1"/>
  <c r="Q25"/>
  <c r="R25" s="1"/>
  <c r="Q26"/>
  <c r="R26" s="1"/>
  <c r="O27"/>
  <c r="Q27" s="1"/>
  <c r="R27" s="1"/>
  <c r="O28"/>
  <c r="Q28" s="1"/>
  <c r="R28" s="1"/>
  <c r="O29"/>
  <c r="Q29" s="1"/>
  <c r="R29" s="1"/>
  <c r="O31"/>
  <c r="Q31" s="1"/>
  <c r="R31" s="1"/>
  <c r="O32"/>
  <c r="Q32" s="1"/>
  <c r="R32" s="1"/>
  <c r="O33"/>
  <c r="Q33" s="1"/>
  <c r="R33" s="1"/>
  <c r="O34"/>
  <c r="Q34" s="1"/>
  <c r="R34" s="1"/>
  <c r="O35"/>
  <c r="Q35" s="1"/>
  <c r="R35" s="1"/>
  <c r="O36"/>
  <c r="Q36" s="1"/>
  <c r="R36" s="1"/>
  <c r="O37"/>
  <c r="Q37" s="1"/>
  <c r="R37" s="1"/>
  <c r="O38"/>
  <c r="Q38" s="1"/>
  <c r="R38" s="1"/>
  <c r="O39"/>
  <c r="Q39" s="1"/>
  <c r="R39" s="1"/>
  <c r="O41"/>
  <c r="Q41" s="1"/>
  <c r="R41" s="1"/>
  <c r="O42"/>
  <c r="Q42" s="1"/>
  <c r="R42" s="1"/>
  <c r="Q12" l="1"/>
  <c r="R12" s="1"/>
  <c r="O43" l="1"/>
  <c r="R43"/>
  <c r="Q43"/>
  <c r="R14" i="88" l="1"/>
  <c r="R15"/>
  <c r="R16"/>
  <c r="R17"/>
  <c r="R18"/>
  <c r="R19"/>
  <c r="R20"/>
  <c r="R21"/>
  <c r="R22"/>
  <c r="R23"/>
  <c r="R24"/>
  <c r="R25"/>
  <c r="R26"/>
  <c r="R27"/>
  <c r="R28"/>
  <c r="R29"/>
  <c r="R30"/>
  <c r="R31"/>
  <c r="R32"/>
  <c r="R33"/>
  <c r="R34"/>
  <c r="R35"/>
  <c r="R36"/>
  <c r="R37"/>
  <c r="R38"/>
  <c r="R39"/>
  <c r="R40"/>
  <c r="R41"/>
  <c r="R42"/>
  <c r="R43"/>
  <c r="R45"/>
  <c r="R46"/>
  <c r="Q15"/>
  <c r="Q16"/>
  <c r="Q17"/>
  <c r="Q18"/>
  <c r="Q19"/>
  <c r="Q20"/>
  <c r="Q21"/>
  <c r="Q22"/>
  <c r="Q23"/>
  <c r="Q24"/>
  <c r="Q25"/>
  <c r="Q26"/>
  <c r="Q27"/>
  <c r="Q28"/>
  <c r="Q29"/>
  <c r="Q30"/>
  <c r="Q31"/>
  <c r="Q32"/>
  <c r="Q33"/>
  <c r="Q34"/>
  <c r="Q35"/>
  <c r="Q36"/>
  <c r="Q37"/>
  <c r="Q38"/>
  <c r="Q39"/>
  <c r="Q40"/>
  <c r="Q42"/>
  <c r="Q43"/>
  <c r="Q44"/>
  <c r="Q45"/>
  <c r="Q46"/>
  <c r="Q14"/>
  <c r="D10" i="142" l="1"/>
  <c r="D11"/>
  <c r="D12"/>
  <c r="D13"/>
  <c r="D14"/>
  <c r="D15"/>
  <c r="D16"/>
  <c r="D17"/>
  <c r="D18"/>
  <c r="D19"/>
  <c r="D20"/>
  <c r="D21"/>
  <c r="D22"/>
  <c r="D23"/>
  <c r="D24"/>
  <c r="D25"/>
  <c r="D26"/>
  <c r="D27"/>
  <c r="D28"/>
  <c r="D29"/>
  <c r="D30"/>
  <c r="D31"/>
  <c r="D32"/>
  <c r="D33"/>
  <c r="D34"/>
  <c r="D35"/>
  <c r="D36"/>
  <c r="D37"/>
  <c r="D38"/>
  <c r="D39"/>
  <c r="D40"/>
  <c r="D41"/>
  <c r="D9"/>
  <c r="D42" s="1"/>
  <c r="L11" i="60" l="1"/>
  <c r="F44"/>
  <c r="H44"/>
  <c r="J44"/>
  <c r="K44"/>
  <c r="C44"/>
  <c r="D44"/>
  <c r="E44"/>
  <c r="R12"/>
  <c r="R13"/>
  <c r="R14"/>
  <c r="R15"/>
  <c r="R16"/>
  <c r="R17"/>
  <c r="R18"/>
  <c r="R19"/>
  <c r="R20"/>
  <c r="R21"/>
  <c r="R22"/>
  <c r="R23"/>
  <c r="R24"/>
  <c r="R25"/>
  <c r="R26"/>
  <c r="R27"/>
  <c r="R28"/>
  <c r="R29"/>
  <c r="R30"/>
  <c r="R31"/>
  <c r="R32"/>
  <c r="R33"/>
  <c r="R34"/>
  <c r="R35"/>
  <c r="R36"/>
  <c r="R37"/>
  <c r="R38"/>
  <c r="R39"/>
  <c r="R40"/>
  <c r="R41"/>
  <c r="R42"/>
  <c r="R43"/>
  <c r="R11"/>
  <c r="R44" s="1"/>
  <c r="G43"/>
  <c r="G42"/>
  <c r="G41"/>
  <c r="G40"/>
  <c r="G39"/>
  <c r="G38"/>
  <c r="G37"/>
  <c r="G36"/>
  <c r="G35"/>
  <c r="G34"/>
  <c r="G33"/>
  <c r="G32"/>
  <c r="G31"/>
  <c r="G30"/>
  <c r="G29"/>
  <c r="G28"/>
  <c r="G27"/>
  <c r="G26"/>
  <c r="G25"/>
  <c r="G24"/>
  <c r="G23"/>
  <c r="G22"/>
  <c r="G21"/>
  <c r="G20"/>
  <c r="G19"/>
  <c r="G18"/>
  <c r="G17"/>
  <c r="G16"/>
  <c r="G15"/>
  <c r="G14"/>
  <c r="G13"/>
  <c r="G12"/>
  <c r="G44" s="1"/>
  <c r="F27" i="100"/>
  <c r="F9"/>
  <c r="D43" i="117"/>
  <c r="G42"/>
  <c r="I42" s="1"/>
  <c r="H42"/>
  <c r="G41"/>
  <c r="I41" s="1"/>
  <c r="H41"/>
  <c r="G40"/>
  <c r="I40" s="1"/>
  <c r="H40"/>
  <c r="G39"/>
  <c r="I39" s="1"/>
  <c r="H39"/>
  <c r="G38"/>
  <c r="I38" s="1"/>
  <c r="H38"/>
  <c r="G37"/>
  <c r="I37" s="1"/>
  <c r="H37"/>
  <c r="G36"/>
  <c r="I36" s="1"/>
  <c r="H36"/>
  <c r="G35"/>
  <c r="I35" s="1"/>
  <c r="H35"/>
  <c r="G34"/>
  <c r="I34" s="1"/>
  <c r="H34"/>
  <c r="J34" s="1"/>
  <c r="G33"/>
  <c r="I33" s="1"/>
  <c r="H33"/>
  <c r="G32"/>
  <c r="I32" s="1"/>
  <c r="H32"/>
  <c r="G31"/>
  <c r="I31" s="1"/>
  <c r="H31"/>
  <c r="G30"/>
  <c r="I30" s="1"/>
  <c r="H30"/>
  <c r="G29"/>
  <c r="I29" s="1"/>
  <c r="G28"/>
  <c r="I28" s="1"/>
  <c r="G27"/>
  <c r="I27" s="1"/>
  <c r="H27"/>
  <c r="G26"/>
  <c r="I26" s="1"/>
  <c r="H26"/>
  <c r="G25"/>
  <c r="I25" s="1"/>
  <c r="H25"/>
  <c r="G24"/>
  <c r="I24" s="1"/>
  <c r="H24"/>
  <c r="G23"/>
  <c r="I23" s="1"/>
  <c r="H23"/>
  <c r="G22"/>
  <c r="I22" s="1"/>
  <c r="H22"/>
  <c r="G21"/>
  <c r="I21" s="1"/>
  <c r="H21"/>
  <c r="G20"/>
  <c r="I20" s="1"/>
  <c r="G19"/>
  <c r="I19" s="1"/>
  <c r="H19"/>
  <c r="G18"/>
  <c r="I18" s="1"/>
  <c r="G17"/>
  <c r="I17" s="1"/>
  <c r="H17"/>
  <c r="G16"/>
  <c r="I16" s="1"/>
  <c r="H16"/>
  <c r="G15"/>
  <c r="I15" s="1"/>
  <c r="H15"/>
  <c r="G14"/>
  <c r="I14" s="1"/>
  <c r="H14"/>
  <c r="G13"/>
  <c r="I13" s="1"/>
  <c r="H13"/>
  <c r="G12"/>
  <c r="I12" s="1"/>
  <c r="H12"/>
  <c r="G11"/>
  <c r="I11" s="1"/>
  <c r="H11"/>
  <c r="I10"/>
  <c r="H10"/>
  <c r="J12" l="1"/>
  <c r="J36"/>
  <c r="J17"/>
  <c r="J25"/>
  <c r="H29"/>
  <c r="J29" s="1"/>
  <c r="J33"/>
  <c r="J41"/>
  <c r="J13"/>
  <c r="J21"/>
  <c r="J37"/>
  <c r="J16"/>
  <c r="H20"/>
  <c r="J20" s="1"/>
  <c r="J24"/>
  <c r="H28"/>
  <c r="J28" s="1"/>
  <c r="J32"/>
  <c r="J40"/>
  <c r="I43"/>
  <c r="J10"/>
  <c r="J14"/>
  <c r="J22"/>
  <c r="J26"/>
  <c r="J30"/>
  <c r="J38"/>
  <c r="J42"/>
  <c r="F43"/>
  <c r="J11"/>
  <c r="J15"/>
  <c r="J19"/>
  <c r="J23"/>
  <c r="J27"/>
  <c r="J31"/>
  <c r="J35"/>
  <c r="J39"/>
  <c r="G43"/>
  <c r="H18"/>
  <c r="H43" l="1"/>
  <c r="J18"/>
  <c r="J43" s="1"/>
  <c r="G42" i="142" l="1"/>
  <c r="F42"/>
  <c r="C42"/>
  <c r="E34"/>
  <c r="E31"/>
  <c r="E42" s="1"/>
  <c r="C19" i="13"/>
  <c r="C45" s="1"/>
  <c r="J15" i="88"/>
  <c r="J16"/>
  <c r="J17"/>
  <c r="J18"/>
  <c r="J19"/>
  <c r="J20"/>
  <c r="J21"/>
  <c r="J22"/>
  <c r="J23"/>
  <c r="J24"/>
  <c r="J25"/>
  <c r="J26"/>
  <c r="J27"/>
  <c r="J28"/>
  <c r="J29"/>
  <c r="J30"/>
  <c r="J31"/>
  <c r="J32"/>
  <c r="J33"/>
  <c r="J34"/>
  <c r="J35"/>
  <c r="J36"/>
  <c r="J37"/>
  <c r="J38"/>
  <c r="J39"/>
  <c r="J40"/>
  <c r="J41"/>
  <c r="J42"/>
  <c r="J43"/>
  <c r="J44"/>
  <c r="J45"/>
  <c r="J46"/>
  <c r="J14"/>
  <c r="G43" i="16" l="1"/>
  <c r="H43"/>
  <c r="I43"/>
  <c r="J43"/>
  <c r="K43"/>
  <c r="D22" i="115"/>
  <c r="E22"/>
  <c r="F22"/>
  <c r="G22"/>
  <c r="H22"/>
  <c r="I22"/>
  <c r="J22"/>
  <c r="K22"/>
  <c r="C22"/>
  <c r="P43" i="139" l="1"/>
  <c r="O43"/>
  <c r="N43"/>
  <c r="D43"/>
  <c r="K44" i="47"/>
  <c r="J44"/>
  <c r="I44"/>
  <c r="H44"/>
  <c r="F44"/>
  <c r="E44"/>
  <c r="D44"/>
  <c r="C44"/>
  <c r="P43"/>
  <c r="O43"/>
  <c r="N43"/>
  <c r="M43"/>
  <c r="L43"/>
  <c r="G43"/>
  <c r="P42"/>
  <c r="O42"/>
  <c r="N42"/>
  <c r="M42"/>
  <c r="L42"/>
  <c r="G42"/>
  <c r="P41"/>
  <c r="O41"/>
  <c r="N41"/>
  <c r="M41"/>
  <c r="L41"/>
  <c r="G41"/>
  <c r="P40"/>
  <c r="O40"/>
  <c r="N40"/>
  <c r="M40"/>
  <c r="L40"/>
  <c r="G40"/>
  <c r="P39"/>
  <c r="O39"/>
  <c r="N39"/>
  <c r="M39"/>
  <c r="L39"/>
  <c r="G39"/>
  <c r="P38"/>
  <c r="O38"/>
  <c r="N38"/>
  <c r="M38"/>
  <c r="L38"/>
  <c r="G38"/>
  <c r="P37"/>
  <c r="O37"/>
  <c r="N37"/>
  <c r="M37"/>
  <c r="L37"/>
  <c r="G37"/>
  <c r="P36"/>
  <c r="O36"/>
  <c r="N36"/>
  <c r="M36"/>
  <c r="L36"/>
  <c r="G36"/>
  <c r="P35"/>
  <c r="O35"/>
  <c r="N35"/>
  <c r="M35"/>
  <c r="L35"/>
  <c r="G35"/>
  <c r="P34"/>
  <c r="O34"/>
  <c r="N34"/>
  <c r="M34"/>
  <c r="L34"/>
  <c r="G34"/>
  <c r="P33"/>
  <c r="O33"/>
  <c r="N33"/>
  <c r="M33"/>
  <c r="L33"/>
  <c r="G33"/>
  <c r="P32"/>
  <c r="O32"/>
  <c r="N32"/>
  <c r="M32"/>
  <c r="L32"/>
  <c r="G32"/>
  <c r="P31"/>
  <c r="O31"/>
  <c r="N31"/>
  <c r="M31"/>
  <c r="L31"/>
  <c r="G31"/>
  <c r="P30"/>
  <c r="O30"/>
  <c r="N30"/>
  <c r="M30"/>
  <c r="L30"/>
  <c r="G30"/>
  <c r="P29"/>
  <c r="O29"/>
  <c r="N29"/>
  <c r="M29"/>
  <c r="L29"/>
  <c r="G29"/>
  <c r="P28"/>
  <c r="O28"/>
  <c r="N28"/>
  <c r="M28"/>
  <c r="L28"/>
  <c r="G28"/>
  <c r="P27"/>
  <c r="O27"/>
  <c r="N27"/>
  <c r="M27"/>
  <c r="L27"/>
  <c r="G27"/>
  <c r="P26"/>
  <c r="O26"/>
  <c r="N26"/>
  <c r="M26"/>
  <c r="L26"/>
  <c r="G26"/>
  <c r="P25"/>
  <c r="O25"/>
  <c r="N25"/>
  <c r="M25"/>
  <c r="L25"/>
  <c r="G25"/>
  <c r="P24"/>
  <c r="O24"/>
  <c r="N24"/>
  <c r="M24"/>
  <c r="L24"/>
  <c r="G24"/>
  <c r="P23"/>
  <c r="O23"/>
  <c r="N23"/>
  <c r="M23"/>
  <c r="L23"/>
  <c r="G23"/>
  <c r="P22"/>
  <c r="O22"/>
  <c r="N22"/>
  <c r="M22"/>
  <c r="L22"/>
  <c r="G22"/>
  <c r="P21"/>
  <c r="O21"/>
  <c r="N21"/>
  <c r="M21"/>
  <c r="L21"/>
  <c r="G21"/>
  <c r="P20"/>
  <c r="O20"/>
  <c r="N20"/>
  <c r="M20"/>
  <c r="L20"/>
  <c r="G20"/>
  <c r="P19"/>
  <c r="O19"/>
  <c r="N19"/>
  <c r="M19"/>
  <c r="L19"/>
  <c r="G19"/>
  <c r="P18"/>
  <c r="O18"/>
  <c r="N18"/>
  <c r="M18"/>
  <c r="L18"/>
  <c r="G18"/>
  <c r="P17"/>
  <c r="O17"/>
  <c r="N17"/>
  <c r="M17"/>
  <c r="L17"/>
  <c r="G17"/>
  <c r="P16"/>
  <c r="O16"/>
  <c r="N16"/>
  <c r="M16"/>
  <c r="L16"/>
  <c r="G16"/>
  <c r="P15"/>
  <c r="O15"/>
  <c r="N15"/>
  <c r="M15"/>
  <c r="L15"/>
  <c r="G15"/>
  <c r="P14"/>
  <c r="O14"/>
  <c r="N14"/>
  <c r="M14"/>
  <c r="L14"/>
  <c r="G14"/>
  <c r="P13"/>
  <c r="O13"/>
  <c r="N13"/>
  <c r="M13"/>
  <c r="L13"/>
  <c r="G13"/>
  <c r="P12"/>
  <c r="O12"/>
  <c r="N12"/>
  <c r="M12"/>
  <c r="L12"/>
  <c r="G12"/>
  <c r="P11"/>
  <c r="O11"/>
  <c r="N11"/>
  <c r="M11"/>
  <c r="L11"/>
  <c r="G11"/>
  <c r="Q25" i="98"/>
  <c r="P25"/>
  <c r="O25"/>
  <c r="N25"/>
  <c r="M25"/>
  <c r="L25"/>
  <c r="H25"/>
  <c r="G25"/>
  <c r="F25"/>
  <c r="E25"/>
  <c r="D25"/>
  <c r="C25"/>
  <c r="T19"/>
  <c r="S19"/>
  <c r="R19"/>
  <c r="K19"/>
  <c r="J19"/>
  <c r="V19" s="1"/>
  <c r="I19"/>
  <c r="U19" s="1"/>
  <c r="T18"/>
  <c r="S18"/>
  <c r="R18"/>
  <c r="K18"/>
  <c r="J18"/>
  <c r="I18"/>
  <c r="T17"/>
  <c r="S17"/>
  <c r="R17"/>
  <c r="K17"/>
  <c r="J17"/>
  <c r="I17"/>
  <c r="T16"/>
  <c r="S16"/>
  <c r="R16"/>
  <c r="K16"/>
  <c r="J16"/>
  <c r="I16"/>
  <c r="T15"/>
  <c r="S15"/>
  <c r="R15"/>
  <c r="K15"/>
  <c r="J15"/>
  <c r="V15" s="1"/>
  <c r="I15"/>
  <c r="I25" s="1"/>
  <c r="F26" i="14"/>
  <c r="D26"/>
  <c r="G24"/>
  <c r="G19"/>
  <c r="G18"/>
  <c r="G17"/>
  <c r="E17"/>
  <c r="E26" s="1"/>
  <c r="C26"/>
  <c r="G45" i="13"/>
  <c r="D45"/>
  <c r="H44"/>
  <c r="H43"/>
  <c r="H42"/>
  <c r="H41"/>
  <c r="H40"/>
  <c r="H39"/>
  <c r="H38"/>
  <c r="H37"/>
  <c r="H36"/>
  <c r="H35"/>
  <c r="H34"/>
  <c r="H33"/>
  <c r="H32"/>
  <c r="H31"/>
  <c r="H30"/>
  <c r="H29"/>
  <c r="H28"/>
  <c r="H27"/>
  <c r="H26"/>
  <c r="H25"/>
  <c r="H24"/>
  <c r="E23"/>
  <c r="H23" s="1"/>
  <c r="H22"/>
  <c r="H21"/>
  <c r="H20"/>
  <c r="H19"/>
  <c r="H18"/>
  <c r="H17"/>
  <c r="H16"/>
  <c r="E15"/>
  <c r="H15" s="1"/>
  <c r="E14"/>
  <c r="H14" s="1"/>
  <c r="E13"/>
  <c r="H13" s="1"/>
  <c r="E12"/>
  <c r="V47" i="88"/>
  <c r="U47"/>
  <c r="J47"/>
  <c r="I47"/>
  <c r="AB46"/>
  <c r="AA46"/>
  <c r="Y46"/>
  <c r="W46"/>
  <c r="X46" s="1"/>
  <c r="S46"/>
  <c r="P46"/>
  <c r="M46"/>
  <c r="G46"/>
  <c r="AB45"/>
  <c r="AA45"/>
  <c r="Y45"/>
  <c r="W45"/>
  <c r="X45" s="1"/>
  <c r="S45"/>
  <c r="P45"/>
  <c r="M45"/>
  <c r="G45"/>
  <c r="AB44"/>
  <c r="AA44"/>
  <c r="Y44"/>
  <c r="W44"/>
  <c r="X44" s="1"/>
  <c r="P44"/>
  <c r="L44"/>
  <c r="R44" s="1"/>
  <c r="R47" s="1"/>
  <c r="G44"/>
  <c r="AB43"/>
  <c r="AA43"/>
  <c r="Y43"/>
  <c r="W43"/>
  <c r="X43" s="1"/>
  <c r="P43"/>
  <c r="M43"/>
  <c r="G43"/>
  <c r="AB42"/>
  <c r="AA42"/>
  <c r="Y42"/>
  <c r="W42"/>
  <c r="X42" s="1"/>
  <c r="P42"/>
  <c r="M42"/>
  <c r="G42"/>
  <c r="AB41"/>
  <c r="AA41"/>
  <c r="Y41"/>
  <c r="W41"/>
  <c r="X41" s="1"/>
  <c r="Z41" s="1"/>
  <c r="P41"/>
  <c r="K41"/>
  <c r="F41"/>
  <c r="F47" s="1"/>
  <c r="AB40"/>
  <c r="AA40"/>
  <c r="Y40"/>
  <c r="W40"/>
  <c r="X40" s="1"/>
  <c r="P40"/>
  <c r="M40"/>
  <c r="G40"/>
  <c r="AB39"/>
  <c r="AA39"/>
  <c r="Y39"/>
  <c r="W39"/>
  <c r="X39" s="1"/>
  <c r="P39"/>
  <c r="M39"/>
  <c r="G39"/>
  <c r="AB38"/>
  <c r="AA38"/>
  <c r="Y38"/>
  <c r="W38"/>
  <c r="X38" s="1"/>
  <c r="P38"/>
  <c r="M38"/>
  <c r="G38"/>
  <c r="AB37"/>
  <c r="AA37"/>
  <c r="Y37"/>
  <c r="W37"/>
  <c r="X37" s="1"/>
  <c r="S37"/>
  <c r="P37"/>
  <c r="M37"/>
  <c r="G37"/>
  <c r="AB36"/>
  <c r="AA36"/>
  <c r="Y36"/>
  <c r="W36"/>
  <c r="X36" s="1"/>
  <c r="Z36" s="1"/>
  <c r="P36"/>
  <c r="M36"/>
  <c r="G36"/>
  <c r="AB35"/>
  <c r="AA35"/>
  <c r="Y35"/>
  <c r="W35"/>
  <c r="X35" s="1"/>
  <c r="S35"/>
  <c r="P35"/>
  <c r="M35"/>
  <c r="G35"/>
  <c r="AB34"/>
  <c r="AA34"/>
  <c r="Y34"/>
  <c r="W34"/>
  <c r="X34" s="1"/>
  <c r="Z34" s="1"/>
  <c r="S34"/>
  <c r="P34"/>
  <c r="M34"/>
  <c r="G34"/>
  <c r="AB33"/>
  <c r="AA33"/>
  <c r="Y33"/>
  <c r="W33"/>
  <c r="X33" s="1"/>
  <c r="Z33" s="1"/>
  <c r="S33"/>
  <c r="P33"/>
  <c r="M33"/>
  <c r="G33"/>
  <c r="AB32"/>
  <c r="AA32"/>
  <c r="Y32"/>
  <c r="W32"/>
  <c r="X32" s="1"/>
  <c r="S32"/>
  <c r="P32"/>
  <c r="M32"/>
  <c r="G32"/>
  <c r="AB31"/>
  <c r="AA31"/>
  <c r="Y31"/>
  <c r="W31"/>
  <c r="X31" s="1"/>
  <c r="P31"/>
  <c r="M31"/>
  <c r="G31"/>
  <c r="AB30"/>
  <c r="AA30"/>
  <c r="Y30"/>
  <c r="W30"/>
  <c r="X30" s="1"/>
  <c r="Z30" s="1"/>
  <c r="P30"/>
  <c r="M30"/>
  <c r="G30"/>
  <c r="AB29"/>
  <c r="AA29"/>
  <c r="Y29"/>
  <c r="W29"/>
  <c r="X29" s="1"/>
  <c r="S29"/>
  <c r="P29"/>
  <c r="M29"/>
  <c r="E29"/>
  <c r="E47" s="1"/>
  <c r="G29"/>
  <c r="AB28"/>
  <c r="AA28"/>
  <c r="Y28"/>
  <c r="W28"/>
  <c r="X28" s="1"/>
  <c r="Z28" s="1"/>
  <c r="P28"/>
  <c r="M28"/>
  <c r="G28"/>
  <c r="AB27"/>
  <c r="AA27"/>
  <c r="Y27"/>
  <c r="W27"/>
  <c r="X27" s="1"/>
  <c r="Z27" s="1"/>
  <c r="P27"/>
  <c r="M27"/>
  <c r="G27"/>
  <c r="AB26"/>
  <c r="AA26"/>
  <c r="Y26"/>
  <c r="W26"/>
  <c r="X26" s="1"/>
  <c r="P26"/>
  <c r="M26"/>
  <c r="G26"/>
  <c r="AB25"/>
  <c r="AA25"/>
  <c r="Y25"/>
  <c r="W25"/>
  <c r="X25" s="1"/>
  <c r="P25"/>
  <c r="M25"/>
  <c r="G25"/>
  <c r="AB24"/>
  <c r="AA24"/>
  <c r="Y24"/>
  <c r="W24"/>
  <c r="X24" s="1"/>
  <c r="Z24" s="1"/>
  <c r="P24"/>
  <c r="M24"/>
  <c r="G24"/>
  <c r="AB23"/>
  <c r="AA23"/>
  <c r="Y23"/>
  <c r="W23"/>
  <c r="X23" s="1"/>
  <c r="Z23" s="1"/>
  <c r="P23"/>
  <c r="M23"/>
  <c r="G23"/>
  <c r="AB22"/>
  <c r="AA22"/>
  <c r="Y22"/>
  <c r="W22"/>
  <c r="X22" s="1"/>
  <c r="P22"/>
  <c r="M22"/>
  <c r="G22"/>
  <c r="AB21"/>
  <c r="AA21"/>
  <c r="Y21"/>
  <c r="W21"/>
  <c r="X21" s="1"/>
  <c r="P21"/>
  <c r="M21"/>
  <c r="G21"/>
  <c r="AB20"/>
  <c r="AA20"/>
  <c r="Y20"/>
  <c r="W20"/>
  <c r="X20" s="1"/>
  <c r="Z20" s="1"/>
  <c r="P20"/>
  <c r="M20"/>
  <c r="G20"/>
  <c r="AB19"/>
  <c r="AA19"/>
  <c r="Y19"/>
  <c r="W19"/>
  <c r="X19" s="1"/>
  <c r="P19"/>
  <c r="M19"/>
  <c r="G19"/>
  <c r="AB18"/>
  <c r="AA18"/>
  <c r="Y18"/>
  <c r="W18"/>
  <c r="X18" s="1"/>
  <c r="P18"/>
  <c r="M18"/>
  <c r="G18"/>
  <c r="AB17"/>
  <c r="AA17"/>
  <c r="Y17"/>
  <c r="W17"/>
  <c r="X17" s="1"/>
  <c r="P17"/>
  <c r="M17"/>
  <c r="G17"/>
  <c r="AB16"/>
  <c r="AA16"/>
  <c r="Y16"/>
  <c r="W16"/>
  <c r="X16" s="1"/>
  <c r="P16"/>
  <c r="M16"/>
  <c r="G16"/>
  <c r="AB15"/>
  <c r="AA15"/>
  <c r="Y15"/>
  <c r="W15"/>
  <c r="X15" s="1"/>
  <c r="P15"/>
  <c r="M15"/>
  <c r="G15"/>
  <c r="AB14"/>
  <c r="AA14"/>
  <c r="Y14"/>
  <c r="W14"/>
  <c r="S14"/>
  <c r="P14"/>
  <c r="M14"/>
  <c r="G14"/>
  <c r="S3"/>
  <c r="E17" i="99"/>
  <c r="D17"/>
  <c r="C17"/>
  <c r="E16"/>
  <c r="I16" s="1"/>
  <c r="M16" s="1"/>
  <c r="D16"/>
  <c r="H16" s="1"/>
  <c r="L16" s="1"/>
  <c r="C16"/>
  <c r="G16" s="1"/>
  <c r="K16" s="1"/>
  <c r="E15"/>
  <c r="I15" s="1"/>
  <c r="M15" s="1"/>
  <c r="D15"/>
  <c r="H15" s="1"/>
  <c r="L15" s="1"/>
  <c r="C15"/>
  <c r="G15" s="1"/>
  <c r="K15" s="1"/>
  <c r="E26" i="96"/>
  <c r="D26"/>
  <c r="C26"/>
  <c r="F25"/>
  <c r="F24"/>
  <c r="F23"/>
  <c r="F22"/>
  <c r="F21"/>
  <c r="F26" s="1"/>
  <c r="M20"/>
  <c r="L20"/>
  <c r="K20"/>
  <c r="I20"/>
  <c r="H20"/>
  <c r="G20"/>
  <c r="F20"/>
  <c r="N19"/>
  <c r="I19"/>
  <c r="Q19" s="1"/>
  <c r="U19" s="1"/>
  <c r="H19"/>
  <c r="P19"/>
  <c r="T19" s="1"/>
  <c r="G19"/>
  <c r="O19" s="1"/>
  <c r="S19" s="1"/>
  <c r="F19"/>
  <c r="N18"/>
  <c r="I18"/>
  <c r="Q18" s="1"/>
  <c r="U18" s="1"/>
  <c r="H18"/>
  <c r="G18"/>
  <c r="O18" s="1"/>
  <c r="S18" s="1"/>
  <c r="F18"/>
  <c r="M17"/>
  <c r="L17"/>
  <c r="K17"/>
  <c r="I17"/>
  <c r="H17"/>
  <c r="G17"/>
  <c r="F17"/>
  <c r="N16"/>
  <c r="I16"/>
  <c r="H16"/>
  <c r="P16" s="1"/>
  <c r="T16" s="1"/>
  <c r="G16"/>
  <c r="O16" s="1"/>
  <c r="S16" s="1"/>
  <c r="F16"/>
  <c r="E33" i="138"/>
  <c r="E31"/>
  <c r="E29"/>
  <c r="E24"/>
  <c r="E18"/>
  <c r="E11"/>
  <c r="R44" i="144"/>
  <c r="Q44"/>
  <c r="P44"/>
  <c r="O44"/>
  <c r="N44"/>
  <c r="M44"/>
  <c r="L44"/>
  <c r="F44"/>
  <c r="E44"/>
  <c r="D44"/>
  <c r="C44"/>
  <c r="G43"/>
  <c r="G42"/>
  <c r="G41"/>
  <c r="G40"/>
  <c r="G39"/>
  <c r="G38"/>
  <c r="J38" s="1"/>
  <c r="G37"/>
  <c r="J37" s="1"/>
  <c r="K37"/>
  <c r="G36"/>
  <c r="K36" s="1"/>
  <c r="G35"/>
  <c r="G34"/>
  <c r="K34" s="1"/>
  <c r="G33"/>
  <c r="K33" s="1"/>
  <c r="G32"/>
  <c r="G31"/>
  <c r="J31" s="1"/>
  <c r="G30"/>
  <c r="J30" s="1"/>
  <c r="G29"/>
  <c r="G28"/>
  <c r="J28" s="1"/>
  <c r="K28"/>
  <c r="G27"/>
  <c r="J26"/>
  <c r="G26"/>
  <c r="K26"/>
  <c r="G25"/>
  <c r="K25" s="1"/>
  <c r="G24"/>
  <c r="G23"/>
  <c r="G22"/>
  <c r="J22" s="1"/>
  <c r="G21"/>
  <c r="J21" s="1"/>
  <c r="G20"/>
  <c r="J20" s="1"/>
  <c r="G19"/>
  <c r="J19" s="1"/>
  <c r="G18"/>
  <c r="K18" s="1"/>
  <c r="G17"/>
  <c r="K17" s="1"/>
  <c r="G16"/>
  <c r="G15"/>
  <c r="K15" s="1"/>
  <c r="G14"/>
  <c r="G13"/>
  <c r="J13" s="1"/>
  <c r="J12"/>
  <c r="G12"/>
  <c r="K12"/>
  <c r="G11"/>
  <c r="J11" s="1"/>
  <c r="K11"/>
  <c r="F44" i="29"/>
  <c r="E44"/>
  <c r="D44"/>
  <c r="C44"/>
  <c r="G43"/>
  <c r="K43" s="1"/>
  <c r="K42"/>
  <c r="I42" s="1"/>
  <c r="G42"/>
  <c r="J42"/>
  <c r="G41"/>
  <c r="K40"/>
  <c r="G40"/>
  <c r="J40"/>
  <c r="G39"/>
  <c r="K39" s="1"/>
  <c r="K38"/>
  <c r="I38" s="1"/>
  <c r="G38"/>
  <c r="J38"/>
  <c r="G37"/>
  <c r="K36"/>
  <c r="I36" s="1"/>
  <c r="G36"/>
  <c r="J36"/>
  <c r="G35"/>
  <c r="K34"/>
  <c r="I34" s="1"/>
  <c r="G34"/>
  <c r="J34"/>
  <c r="G33"/>
  <c r="K32"/>
  <c r="I32" s="1"/>
  <c r="G32"/>
  <c r="J32"/>
  <c r="G31"/>
  <c r="K30"/>
  <c r="I30" s="1"/>
  <c r="G30"/>
  <c r="J30"/>
  <c r="G29"/>
  <c r="K28"/>
  <c r="I28" s="1"/>
  <c r="G28"/>
  <c r="J28"/>
  <c r="G27"/>
  <c r="K26"/>
  <c r="I26" s="1"/>
  <c r="G26"/>
  <c r="J26"/>
  <c r="G25"/>
  <c r="K24"/>
  <c r="I24" s="1"/>
  <c r="G24"/>
  <c r="J24"/>
  <c r="G23"/>
  <c r="K22"/>
  <c r="I22" s="1"/>
  <c r="G22"/>
  <c r="J22"/>
  <c r="G21"/>
  <c r="K20"/>
  <c r="I20" s="1"/>
  <c r="G20"/>
  <c r="J20"/>
  <c r="G19"/>
  <c r="K18"/>
  <c r="I18" s="1"/>
  <c r="G18"/>
  <c r="J18"/>
  <c r="G17"/>
  <c r="K16"/>
  <c r="I16" s="1"/>
  <c r="G16"/>
  <c r="J16"/>
  <c r="G15"/>
  <c r="K14"/>
  <c r="I14" s="1"/>
  <c r="G14"/>
  <c r="J14"/>
  <c r="G13"/>
  <c r="J13" s="1"/>
  <c r="G12"/>
  <c r="K12" s="1"/>
  <c r="G11"/>
  <c r="K11" s="1"/>
  <c r="M48" i="5"/>
  <c r="L46"/>
  <c r="J46"/>
  <c r="E46"/>
  <c r="D46"/>
  <c r="G45"/>
  <c r="G44"/>
  <c r="G43"/>
  <c r="G42"/>
  <c r="G41"/>
  <c r="G40"/>
  <c r="G39"/>
  <c r="G38"/>
  <c r="G37"/>
  <c r="G36"/>
  <c r="F35"/>
  <c r="F46" s="1"/>
  <c r="G34"/>
  <c r="G33"/>
  <c r="G32"/>
  <c r="G31"/>
  <c r="G30"/>
  <c r="G29"/>
  <c r="G28"/>
  <c r="G27"/>
  <c r="G26"/>
  <c r="G25"/>
  <c r="G24"/>
  <c r="G23"/>
  <c r="G22"/>
  <c r="G21"/>
  <c r="G20"/>
  <c r="G19"/>
  <c r="G18"/>
  <c r="G17"/>
  <c r="G16"/>
  <c r="G15"/>
  <c r="C46"/>
  <c r="H45" i="111"/>
  <c r="G45"/>
  <c r="D45"/>
  <c r="C45"/>
  <c r="J44"/>
  <c r="F44"/>
  <c r="J43"/>
  <c r="F43"/>
  <c r="J42"/>
  <c r="F42"/>
  <c r="J41"/>
  <c r="F41"/>
  <c r="J40"/>
  <c r="F40"/>
  <c r="J39"/>
  <c r="F39"/>
  <c r="J38"/>
  <c r="F38"/>
  <c r="J37"/>
  <c r="F37"/>
  <c r="J36"/>
  <c r="F36"/>
  <c r="J35"/>
  <c r="F35"/>
  <c r="J34"/>
  <c r="F34"/>
  <c r="J33"/>
  <c r="F33"/>
  <c r="J32"/>
  <c r="F32"/>
  <c r="J31"/>
  <c r="F31"/>
  <c r="J30"/>
  <c r="F30"/>
  <c r="J29"/>
  <c r="F29"/>
  <c r="J28"/>
  <c r="F28"/>
  <c r="J27"/>
  <c r="F27"/>
  <c r="J26"/>
  <c r="F26"/>
  <c r="J25"/>
  <c r="F25"/>
  <c r="J24"/>
  <c r="F24"/>
  <c r="J23"/>
  <c r="F23"/>
  <c r="J22"/>
  <c r="F22"/>
  <c r="J21"/>
  <c r="F21"/>
  <c r="J20"/>
  <c r="F20"/>
  <c r="J19"/>
  <c r="F19"/>
  <c r="J18"/>
  <c r="F18"/>
  <c r="J17"/>
  <c r="F17"/>
  <c r="J16"/>
  <c r="F16"/>
  <c r="J15"/>
  <c r="F15"/>
  <c r="J14"/>
  <c r="F14"/>
  <c r="J13"/>
  <c r="F13"/>
  <c r="J12"/>
  <c r="F12"/>
  <c r="H45" i="4"/>
  <c r="G45"/>
  <c r="D45"/>
  <c r="J44"/>
  <c r="F44"/>
  <c r="J43"/>
  <c r="F43"/>
  <c r="J42"/>
  <c r="F42"/>
  <c r="J41"/>
  <c r="F41"/>
  <c r="J40"/>
  <c r="F40"/>
  <c r="J39"/>
  <c r="F39"/>
  <c r="J38"/>
  <c r="F38"/>
  <c r="J37"/>
  <c r="F37"/>
  <c r="J36"/>
  <c r="F36"/>
  <c r="J35"/>
  <c r="F35"/>
  <c r="J34"/>
  <c r="F34"/>
  <c r="J33"/>
  <c r="F33"/>
  <c r="J32"/>
  <c r="F32"/>
  <c r="J31"/>
  <c r="F31"/>
  <c r="J30"/>
  <c r="F30"/>
  <c r="J29"/>
  <c r="F29"/>
  <c r="J28"/>
  <c r="F28"/>
  <c r="J27"/>
  <c r="F27"/>
  <c r="J26"/>
  <c r="F26"/>
  <c r="J25"/>
  <c r="F25"/>
  <c r="J24"/>
  <c r="F24"/>
  <c r="J23"/>
  <c r="F23"/>
  <c r="J22"/>
  <c r="F22"/>
  <c r="J21"/>
  <c r="F21"/>
  <c r="J20"/>
  <c r="F20"/>
  <c r="J19"/>
  <c r="F19"/>
  <c r="J18"/>
  <c r="F18"/>
  <c r="J17"/>
  <c r="F17"/>
  <c r="O16"/>
  <c r="J16"/>
  <c r="F16"/>
  <c r="J15"/>
  <c r="F15"/>
  <c r="J14"/>
  <c r="F14"/>
  <c r="J13"/>
  <c r="F13"/>
  <c r="J12"/>
  <c r="F12"/>
  <c r="I37" i="144"/>
  <c r="J11" i="29"/>
  <c r="M46" i="5"/>
  <c r="P43" i="60"/>
  <c r="O43"/>
  <c r="N43"/>
  <c r="M43"/>
  <c r="L43"/>
  <c r="P42"/>
  <c r="O42"/>
  <c r="N42"/>
  <c r="M42"/>
  <c r="L42"/>
  <c r="P41"/>
  <c r="O41"/>
  <c r="N41"/>
  <c r="M41"/>
  <c r="L41"/>
  <c r="P40"/>
  <c r="O40"/>
  <c r="N40"/>
  <c r="M40"/>
  <c r="L40"/>
  <c r="P39"/>
  <c r="O39"/>
  <c r="N39"/>
  <c r="M39"/>
  <c r="L39"/>
  <c r="P38"/>
  <c r="O38"/>
  <c r="N38"/>
  <c r="M38"/>
  <c r="L38"/>
  <c r="P37"/>
  <c r="O37"/>
  <c r="N37"/>
  <c r="M37"/>
  <c r="L37"/>
  <c r="P36"/>
  <c r="O36"/>
  <c r="N36"/>
  <c r="M36"/>
  <c r="L36"/>
  <c r="P35"/>
  <c r="O35"/>
  <c r="N35"/>
  <c r="M35"/>
  <c r="L35"/>
  <c r="P34"/>
  <c r="O34"/>
  <c r="N34"/>
  <c r="M34"/>
  <c r="L34"/>
  <c r="P33"/>
  <c r="O33"/>
  <c r="N33"/>
  <c r="M33"/>
  <c r="L33"/>
  <c r="P32"/>
  <c r="O32"/>
  <c r="N32"/>
  <c r="M32"/>
  <c r="L32"/>
  <c r="P31"/>
  <c r="O31"/>
  <c r="N31"/>
  <c r="M31"/>
  <c r="L31"/>
  <c r="P30"/>
  <c r="O30"/>
  <c r="N30"/>
  <c r="M30"/>
  <c r="L30"/>
  <c r="P29"/>
  <c r="O29"/>
  <c r="N29"/>
  <c r="M29"/>
  <c r="L29"/>
  <c r="P28"/>
  <c r="O28"/>
  <c r="N28"/>
  <c r="M28"/>
  <c r="L28"/>
  <c r="P27"/>
  <c r="O27"/>
  <c r="N27"/>
  <c r="M27"/>
  <c r="L27"/>
  <c r="P26"/>
  <c r="O26"/>
  <c r="N26"/>
  <c r="M26"/>
  <c r="L26"/>
  <c r="P25"/>
  <c r="O25"/>
  <c r="N25"/>
  <c r="M25"/>
  <c r="L25"/>
  <c r="P24"/>
  <c r="O24"/>
  <c r="N24"/>
  <c r="M24"/>
  <c r="L24"/>
  <c r="P23"/>
  <c r="O23"/>
  <c r="N23"/>
  <c r="M23"/>
  <c r="L23"/>
  <c r="P22"/>
  <c r="O22"/>
  <c r="N22"/>
  <c r="M22"/>
  <c r="L22"/>
  <c r="P21"/>
  <c r="O21"/>
  <c r="N21"/>
  <c r="M21"/>
  <c r="L21"/>
  <c r="P20"/>
  <c r="O20"/>
  <c r="N20"/>
  <c r="M20"/>
  <c r="L20"/>
  <c r="P19"/>
  <c r="O19"/>
  <c r="N19"/>
  <c r="M19"/>
  <c r="L19"/>
  <c r="P18"/>
  <c r="O18"/>
  <c r="N18"/>
  <c r="M18"/>
  <c r="L18"/>
  <c r="P17"/>
  <c r="O17"/>
  <c r="N17"/>
  <c r="M17"/>
  <c r="L17"/>
  <c r="P16"/>
  <c r="O16"/>
  <c r="N16"/>
  <c r="M16"/>
  <c r="L16"/>
  <c r="P15"/>
  <c r="O15"/>
  <c r="N15"/>
  <c r="M15"/>
  <c r="L15"/>
  <c r="P14"/>
  <c r="O14"/>
  <c r="N14"/>
  <c r="M14"/>
  <c r="L14"/>
  <c r="P13"/>
  <c r="O13"/>
  <c r="N13"/>
  <c r="M13"/>
  <c r="L13"/>
  <c r="P12"/>
  <c r="O12"/>
  <c r="N12"/>
  <c r="M12"/>
  <c r="L12"/>
  <c r="P11"/>
  <c r="O11"/>
  <c r="N11"/>
  <c r="M11"/>
  <c r="K23" i="28"/>
  <c r="J23"/>
  <c r="I23"/>
  <c r="F23"/>
  <c r="E23"/>
  <c r="D23"/>
  <c r="G22"/>
  <c r="H22" s="1"/>
  <c r="G21"/>
  <c r="H21" s="1"/>
  <c r="G20"/>
  <c r="H20" s="1"/>
  <c r="H19"/>
  <c r="G19"/>
  <c r="G18"/>
  <c r="H18" s="1"/>
  <c r="G17"/>
  <c r="H17" s="1"/>
  <c r="G16"/>
  <c r="H16" s="1"/>
  <c r="G15"/>
  <c r="H15" s="1"/>
  <c r="G14"/>
  <c r="H14" s="1"/>
  <c r="G13"/>
  <c r="H13" s="1"/>
  <c r="G12"/>
  <c r="H12" s="1"/>
  <c r="G11"/>
  <c r="H11" s="1"/>
  <c r="L23" i="27"/>
  <c r="K23"/>
  <c r="J23"/>
  <c r="I23"/>
  <c r="F23"/>
  <c r="E23"/>
  <c r="D23"/>
  <c r="G22"/>
  <c r="H22" s="1"/>
  <c r="G21"/>
  <c r="H21" s="1"/>
  <c r="G20"/>
  <c r="H20" s="1"/>
  <c r="G19"/>
  <c r="H19" s="1"/>
  <c r="G18"/>
  <c r="H18" s="1"/>
  <c r="G17"/>
  <c r="H17" s="1"/>
  <c r="G16"/>
  <c r="H16" s="1"/>
  <c r="H15"/>
  <c r="G15"/>
  <c r="G14"/>
  <c r="H14" s="1"/>
  <c r="G13"/>
  <c r="H13" s="1"/>
  <c r="G12"/>
  <c r="H12" s="1"/>
  <c r="G11"/>
  <c r="K44" i="59"/>
  <c r="J44"/>
  <c r="I44"/>
  <c r="H44"/>
  <c r="F44"/>
  <c r="E44"/>
  <c r="D44"/>
  <c r="C44"/>
  <c r="L43"/>
  <c r="G43"/>
  <c r="L42"/>
  <c r="G42"/>
  <c r="L41"/>
  <c r="G41"/>
  <c r="L40"/>
  <c r="G40"/>
  <c r="L39"/>
  <c r="G39"/>
  <c r="L38"/>
  <c r="G38"/>
  <c r="L37"/>
  <c r="G37"/>
  <c r="L36"/>
  <c r="G36"/>
  <c r="L35"/>
  <c r="G35"/>
  <c r="L34"/>
  <c r="G34"/>
  <c r="L33"/>
  <c r="G33"/>
  <c r="L32"/>
  <c r="G32"/>
  <c r="L31"/>
  <c r="G31"/>
  <c r="L30"/>
  <c r="G30"/>
  <c r="L29"/>
  <c r="G29"/>
  <c r="L28"/>
  <c r="G28"/>
  <c r="L27"/>
  <c r="G27"/>
  <c r="L26"/>
  <c r="G26"/>
  <c r="L25"/>
  <c r="G25"/>
  <c r="L24"/>
  <c r="G24"/>
  <c r="L23"/>
  <c r="G23"/>
  <c r="L22"/>
  <c r="G22"/>
  <c r="L21"/>
  <c r="G21"/>
  <c r="L20"/>
  <c r="G20"/>
  <c r="L19"/>
  <c r="G19"/>
  <c r="L18"/>
  <c r="G18"/>
  <c r="L17"/>
  <c r="G17"/>
  <c r="L16"/>
  <c r="G16"/>
  <c r="L15"/>
  <c r="G15"/>
  <c r="L14"/>
  <c r="G14"/>
  <c r="L13"/>
  <c r="G13"/>
  <c r="L12"/>
  <c r="G12"/>
  <c r="G44"/>
  <c r="L11"/>
  <c r="G11"/>
  <c r="M11" s="1"/>
  <c r="K44" i="58"/>
  <c r="J44"/>
  <c r="I44"/>
  <c r="H44"/>
  <c r="F44"/>
  <c r="E44"/>
  <c r="D44"/>
  <c r="C44"/>
  <c r="L43"/>
  <c r="G43"/>
  <c r="M43" s="1"/>
  <c r="L42"/>
  <c r="G42"/>
  <c r="M42" s="1"/>
  <c r="L41"/>
  <c r="G41"/>
  <c r="M41" s="1"/>
  <c r="L40"/>
  <c r="G40"/>
  <c r="M40" s="1"/>
  <c r="L39"/>
  <c r="G39"/>
  <c r="M39" s="1"/>
  <c r="L38"/>
  <c r="G38"/>
  <c r="M38" s="1"/>
  <c r="L37"/>
  <c r="M37" s="1"/>
  <c r="L36"/>
  <c r="G36"/>
  <c r="L35"/>
  <c r="G35"/>
  <c r="L34"/>
  <c r="G34"/>
  <c r="L33"/>
  <c r="G33"/>
  <c r="L32"/>
  <c r="G32"/>
  <c r="L31"/>
  <c r="G31"/>
  <c r="L30"/>
  <c r="G30"/>
  <c r="L29"/>
  <c r="G29"/>
  <c r="L28"/>
  <c r="G28"/>
  <c r="L27"/>
  <c r="G27"/>
  <c r="L26"/>
  <c r="G26"/>
  <c r="L25"/>
  <c r="G25"/>
  <c r="L24"/>
  <c r="G24"/>
  <c r="L23"/>
  <c r="G23"/>
  <c r="L22"/>
  <c r="G22"/>
  <c r="L21"/>
  <c r="G21"/>
  <c r="L20"/>
  <c r="G20"/>
  <c r="L19"/>
  <c r="G19"/>
  <c r="L18"/>
  <c r="G18"/>
  <c r="L17"/>
  <c r="G17"/>
  <c r="L16"/>
  <c r="G16"/>
  <c r="L15"/>
  <c r="G15"/>
  <c r="L14"/>
  <c r="G14"/>
  <c r="L13"/>
  <c r="G13"/>
  <c r="L12"/>
  <c r="G12"/>
  <c r="L11"/>
  <c r="G11"/>
  <c r="K45" i="1"/>
  <c r="J45"/>
  <c r="I45"/>
  <c r="H45"/>
  <c r="F45"/>
  <c r="E45"/>
  <c r="D45"/>
  <c r="C45"/>
  <c r="L44"/>
  <c r="G44"/>
  <c r="L43"/>
  <c r="G43"/>
  <c r="L42"/>
  <c r="G42"/>
  <c r="L41"/>
  <c r="G41"/>
  <c r="L40"/>
  <c r="G40"/>
  <c r="L39"/>
  <c r="G39"/>
  <c r="L38"/>
  <c r="G38"/>
  <c r="L37"/>
  <c r="G37"/>
  <c r="L36"/>
  <c r="G36"/>
  <c r="L35"/>
  <c r="G35"/>
  <c r="L34"/>
  <c r="G34"/>
  <c r="L33"/>
  <c r="G33"/>
  <c r="L32"/>
  <c r="G32"/>
  <c r="L31"/>
  <c r="G31"/>
  <c r="L30"/>
  <c r="G30"/>
  <c r="L29"/>
  <c r="G29"/>
  <c r="L28"/>
  <c r="G28"/>
  <c r="L27"/>
  <c r="G27"/>
  <c r="L26"/>
  <c r="G26"/>
  <c r="L25"/>
  <c r="G25"/>
  <c r="L24"/>
  <c r="G24"/>
  <c r="L23"/>
  <c r="G23"/>
  <c r="L22"/>
  <c r="G22"/>
  <c r="L21"/>
  <c r="G21"/>
  <c r="L20"/>
  <c r="G20"/>
  <c r="L19"/>
  <c r="G19"/>
  <c r="M19" s="1"/>
  <c r="L18"/>
  <c r="G18"/>
  <c r="L17"/>
  <c r="G17"/>
  <c r="L16"/>
  <c r="G16"/>
  <c r="L15"/>
  <c r="G15"/>
  <c r="M15" s="1"/>
  <c r="L14"/>
  <c r="G14"/>
  <c r="L13"/>
  <c r="G13"/>
  <c r="L12"/>
  <c r="G12"/>
  <c r="E42" i="100"/>
  <c r="D42"/>
  <c r="C42"/>
  <c r="F41"/>
  <c r="G41" s="1"/>
  <c r="F40"/>
  <c r="G40" s="1"/>
  <c r="F39"/>
  <c r="G39" s="1"/>
  <c r="F38"/>
  <c r="G38" s="1"/>
  <c r="F37"/>
  <c r="G37" s="1"/>
  <c r="F36"/>
  <c r="G36" s="1"/>
  <c r="F35"/>
  <c r="G35" s="1"/>
  <c r="F34"/>
  <c r="G34" s="1"/>
  <c r="F33"/>
  <c r="G33" s="1"/>
  <c r="F32"/>
  <c r="G32" s="1"/>
  <c r="F31"/>
  <c r="G31" s="1"/>
  <c r="F30"/>
  <c r="G30" s="1"/>
  <c r="F29"/>
  <c r="G29" s="1"/>
  <c r="F28"/>
  <c r="G28" s="1"/>
  <c r="G27"/>
  <c r="F26"/>
  <c r="G26" s="1"/>
  <c r="F25"/>
  <c r="G25" s="1"/>
  <c r="F24"/>
  <c r="G24" s="1"/>
  <c r="F23"/>
  <c r="G23" s="1"/>
  <c r="F22"/>
  <c r="G22" s="1"/>
  <c r="F21"/>
  <c r="G21" s="1"/>
  <c r="F20"/>
  <c r="G20" s="1"/>
  <c r="F19"/>
  <c r="G19" s="1"/>
  <c r="F18"/>
  <c r="G18" s="1"/>
  <c r="F17"/>
  <c r="G17" s="1"/>
  <c r="F16"/>
  <c r="G16" s="1"/>
  <c r="F15"/>
  <c r="G15" s="1"/>
  <c r="F14"/>
  <c r="G14" s="1"/>
  <c r="F13"/>
  <c r="G13" s="1"/>
  <c r="F12"/>
  <c r="G12" s="1"/>
  <c r="F11"/>
  <c r="G11" s="1"/>
  <c r="F10"/>
  <c r="G9"/>
  <c r="F50" i="56"/>
  <c r="G50" s="1"/>
  <c r="E50"/>
  <c r="C50"/>
  <c r="B50"/>
  <c r="G49"/>
  <c r="D49"/>
  <c r="S32"/>
  <c r="Q32"/>
  <c r="M32"/>
  <c r="K32"/>
  <c r="I32"/>
  <c r="E32"/>
  <c r="O27"/>
  <c r="O32" s="1"/>
  <c r="G27"/>
  <c r="G32" s="1"/>
  <c r="E17"/>
  <c r="J13"/>
  <c r="H13"/>
  <c r="F13"/>
  <c r="D13"/>
  <c r="B13"/>
  <c r="L12"/>
  <c r="L11"/>
  <c r="N41" i="124"/>
  <c r="M41"/>
  <c r="L41"/>
  <c r="K41"/>
  <c r="H41"/>
  <c r="G41"/>
  <c r="E41"/>
  <c r="D41"/>
  <c r="F41"/>
  <c r="N40"/>
  <c r="M40"/>
  <c r="L40"/>
  <c r="K40"/>
  <c r="D40"/>
  <c r="F40" s="1"/>
  <c r="N39"/>
  <c r="M39"/>
  <c r="L39"/>
  <c r="K39"/>
  <c r="D39"/>
  <c r="F39" s="1"/>
  <c r="N38"/>
  <c r="M38"/>
  <c r="L38"/>
  <c r="K38"/>
  <c r="D38"/>
  <c r="F38" s="1"/>
  <c r="N37"/>
  <c r="M37"/>
  <c r="L37"/>
  <c r="K37"/>
  <c r="D37"/>
  <c r="F37" s="1"/>
  <c r="N36"/>
  <c r="M36"/>
  <c r="L36"/>
  <c r="K36"/>
  <c r="D36"/>
  <c r="F36" s="1"/>
  <c r="N35"/>
  <c r="M35"/>
  <c r="L35"/>
  <c r="K35"/>
  <c r="D35"/>
  <c r="F35" s="1"/>
  <c r="N34"/>
  <c r="M34"/>
  <c r="L34"/>
  <c r="K34"/>
  <c r="D34"/>
  <c r="F34" s="1"/>
  <c r="N33"/>
  <c r="M33"/>
  <c r="L33"/>
  <c r="K33"/>
  <c r="D33"/>
  <c r="F33" s="1"/>
  <c r="N32"/>
  <c r="M32"/>
  <c r="L32"/>
  <c r="K32"/>
  <c r="D32"/>
  <c r="F32" s="1"/>
  <c r="N31"/>
  <c r="M31"/>
  <c r="L31"/>
  <c r="K31"/>
  <c r="D31"/>
  <c r="F31" s="1"/>
  <c r="N30"/>
  <c r="M30"/>
  <c r="L30"/>
  <c r="K30"/>
  <c r="D30"/>
  <c r="F30" s="1"/>
  <c r="N29"/>
  <c r="M29"/>
  <c r="L29"/>
  <c r="K29"/>
  <c r="D29"/>
  <c r="F29" s="1"/>
  <c r="N28"/>
  <c r="M28"/>
  <c r="L28"/>
  <c r="K28"/>
  <c r="D28"/>
  <c r="F28" s="1"/>
  <c r="N27"/>
  <c r="M27"/>
  <c r="L27"/>
  <c r="K27"/>
  <c r="D27"/>
  <c r="F27" s="1"/>
  <c r="N26"/>
  <c r="M26"/>
  <c r="L26"/>
  <c r="K26"/>
  <c r="D26"/>
  <c r="F26" s="1"/>
  <c r="N25"/>
  <c r="M25"/>
  <c r="L25"/>
  <c r="K25"/>
  <c r="D25"/>
  <c r="F25" s="1"/>
  <c r="N24"/>
  <c r="M24"/>
  <c r="L24"/>
  <c r="K24"/>
  <c r="D24"/>
  <c r="F24" s="1"/>
  <c r="N23"/>
  <c r="M23"/>
  <c r="L23"/>
  <c r="K23"/>
  <c r="D23"/>
  <c r="F23" s="1"/>
  <c r="N22"/>
  <c r="M22"/>
  <c r="L22"/>
  <c r="K22"/>
  <c r="D22"/>
  <c r="F22" s="1"/>
  <c r="N21"/>
  <c r="M21"/>
  <c r="L21"/>
  <c r="K21"/>
  <c r="D21"/>
  <c r="F21" s="1"/>
  <c r="N20"/>
  <c r="M20"/>
  <c r="L20"/>
  <c r="K20"/>
  <c r="D20"/>
  <c r="F20" s="1"/>
  <c r="N19"/>
  <c r="M19"/>
  <c r="L19"/>
  <c r="K19"/>
  <c r="D19"/>
  <c r="F19" s="1"/>
  <c r="N18"/>
  <c r="M18"/>
  <c r="L18"/>
  <c r="K18"/>
  <c r="D18"/>
  <c r="F18" s="1"/>
  <c r="N17"/>
  <c r="M17"/>
  <c r="L17"/>
  <c r="K17"/>
  <c r="D17"/>
  <c r="F17" s="1"/>
  <c r="N16"/>
  <c r="M16"/>
  <c r="L16"/>
  <c r="K16"/>
  <c r="D16"/>
  <c r="F16" s="1"/>
  <c r="N15"/>
  <c r="M15"/>
  <c r="L15"/>
  <c r="K15"/>
  <c r="D15"/>
  <c r="F15" s="1"/>
  <c r="N14"/>
  <c r="M14"/>
  <c r="L14"/>
  <c r="K14"/>
  <c r="D14"/>
  <c r="F14" s="1"/>
  <c r="N13"/>
  <c r="M13"/>
  <c r="L13"/>
  <c r="K13"/>
  <c r="D13"/>
  <c r="F13" s="1"/>
  <c r="N12"/>
  <c r="M12"/>
  <c r="L12"/>
  <c r="K12"/>
  <c r="D12"/>
  <c r="F12" s="1"/>
  <c r="N11"/>
  <c r="M11"/>
  <c r="L11"/>
  <c r="K11"/>
  <c r="D11"/>
  <c r="F11" s="1"/>
  <c r="N10"/>
  <c r="M10"/>
  <c r="L10"/>
  <c r="K10"/>
  <c r="D10"/>
  <c r="F10" s="1"/>
  <c r="N9"/>
  <c r="M9"/>
  <c r="L9"/>
  <c r="K9"/>
  <c r="D9"/>
  <c r="F9" s="1"/>
  <c r="N8"/>
  <c r="M8"/>
  <c r="L8"/>
  <c r="K8"/>
  <c r="D8"/>
  <c r="F8" s="1"/>
  <c r="O44" i="78"/>
  <c r="K44"/>
  <c r="G44"/>
  <c r="C44"/>
  <c r="Q43"/>
  <c r="P43"/>
  <c r="M43"/>
  <c r="N43" s="1"/>
  <c r="L43"/>
  <c r="I43"/>
  <c r="H43"/>
  <c r="E43"/>
  <c r="D43"/>
  <c r="Q42"/>
  <c r="R42" s="1"/>
  <c r="P42"/>
  <c r="M42"/>
  <c r="L42"/>
  <c r="I42"/>
  <c r="J42" s="1"/>
  <c r="H42"/>
  <c r="E42"/>
  <c r="D42"/>
  <c r="Q41"/>
  <c r="R41" s="1"/>
  <c r="P41"/>
  <c r="M41"/>
  <c r="L41"/>
  <c r="I41"/>
  <c r="J41" s="1"/>
  <c r="H41"/>
  <c r="E41"/>
  <c r="D41"/>
  <c r="Q40"/>
  <c r="R40" s="1"/>
  <c r="P40"/>
  <c r="M40"/>
  <c r="L40"/>
  <c r="I40"/>
  <c r="J40" s="1"/>
  <c r="H40"/>
  <c r="E40"/>
  <c r="F40" s="1"/>
  <c r="D40"/>
  <c r="Q39"/>
  <c r="P39"/>
  <c r="M39"/>
  <c r="L39"/>
  <c r="I39"/>
  <c r="H39"/>
  <c r="E39"/>
  <c r="F39" s="1"/>
  <c r="D39"/>
  <c r="Q38"/>
  <c r="P38"/>
  <c r="M38"/>
  <c r="N38" s="1"/>
  <c r="L38"/>
  <c r="I38"/>
  <c r="H38"/>
  <c r="E38"/>
  <c r="D38"/>
  <c r="Q37"/>
  <c r="P37"/>
  <c r="M37"/>
  <c r="L37"/>
  <c r="I37"/>
  <c r="H37"/>
  <c r="J37" s="1"/>
  <c r="E37"/>
  <c r="D37"/>
  <c r="Q36"/>
  <c r="P36"/>
  <c r="M36"/>
  <c r="L36"/>
  <c r="I36"/>
  <c r="H36"/>
  <c r="E36"/>
  <c r="D36"/>
  <c r="F36" s="1"/>
  <c r="Q35"/>
  <c r="P35"/>
  <c r="M35"/>
  <c r="L35"/>
  <c r="I35"/>
  <c r="H35"/>
  <c r="E35"/>
  <c r="D35"/>
  <c r="Q34"/>
  <c r="P34"/>
  <c r="M34"/>
  <c r="L34"/>
  <c r="I34"/>
  <c r="H34"/>
  <c r="E34"/>
  <c r="D34"/>
  <c r="Q33"/>
  <c r="P33"/>
  <c r="M33"/>
  <c r="L33"/>
  <c r="I33"/>
  <c r="H33"/>
  <c r="J33" s="1"/>
  <c r="E33"/>
  <c r="D33"/>
  <c r="Q32"/>
  <c r="P32"/>
  <c r="M32"/>
  <c r="L32"/>
  <c r="I32"/>
  <c r="H32"/>
  <c r="J32" s="1"/>
  <c r="E32"/>
  <c r="D32"/>
  <c r="Q31"/>
  <c r="R31"/>
  <c r="P31"/>
  <c r="M31"/>
  <c r="N31" s="1"/>
  <c r="L31"/>
  <c r="I31"/>
  <c r="H31"/>
  <c r="E31"/>
  <c r="D31"/>
  <c r="Q30"/>
  <c r="P30"/>
  <c r="M30"/>
  <c r="L30"/>
  <c r="I30"/>
  <c r="H30"/>
  <c r="E30"/>
  <c r="D30"/>
  <c r="Q29"/>
  <c r="P29"/>
  <c r="M29"/>
  <c r="N29" s="1"/>
  <c r="L29"/>
  <c r="I29"/>
  <c r="H29"/>
  <c r="E29"/>
  <c r="D29"/>
  <c r="Q28"/>
  <c r="R28" s="1"/>
  <c r="P28"/>
  <c r="M28"/>
  <c r="L28"/>
  <c r="I28"/>
  <c r="H28"/>
  <c r="E28"/>
  <c r="D28"/>
  <c r="Q27"/>
  <c r="R27" s="1"/>
  <c r="P27"/>
  <c r="M27"/>
  <c r="L27"/>
  <c r="I27"/>
  <c r="H27"/>
  <c r="E27"/>
  <c r="D27"/>
  <c r="R26"/>
  <c r="Q26"/>
  <c r="P26"/>
  <c r="M26"/>
  <c r="L26"/>
  <c r="I26"/>
  <c r="H26"/>
  <c r="J26" s="1"/>
  <c r="E26"/>
  <c r="D26"/>
  <c r="F26" s="1"/>
  <c r="Q25"/>
  <c r="P25"/>
  <c r="M25"/>
  <c r="L25"/>
  <c r="I25"/>
  <c r="H25"/>
  <c r="E25"/>
  <c r="D25"/>
  <c r="F25" s="1"/>
  <c r="Q24"/>
  <c r="P24"/>
  <c r="M24"/>
  <c r="L24"/>
  <c r="I24"/>
  <c r="H24"/>
  <c r="E24"/>
  <c r="D24"/>
  <c r="Q23"/>
  <c r="P23"/>
  <c r="M23"/>
  <c r="L23"/>
  <c r="I23"/>
  <c r="H23"/>
  <c r="E23"/>
  <c r="D23"/>
  <c r="Q22"/>
  <c r="P22"/>
  <c r="M22"/>
  <c r="L22"/>
  <c r="I22"/>
  <c r="H22"/>
  <c r="E22"/>
  <c r="D22"/>
  <c r="Q21"/>
  <c r="P21"/>
  <c r="M21"/>
  <c r="L21"/>
  <c r="I21"/>
  <c r="H21"/>
  <c r="E21"/>
  <c r="D21"/>
  <c r="Q20"/>
  <c r="P20"/>
  <c r="M20"/>
  <c r="L20"/>
  <c r="I20"/>
  <c r="H20"/>
  <c r="E20"/>
  <c r="D20"/>
  <c r="Q19"/>
  <c r="P19"/>
  <c r="M19"/>
  <c r="L19"/>
  <c r="I19"/>
  <c r="H19"/>
  <c r="E19"/>
  <c r="D19"/>
  <c r="Q18"/>
  <c r="P18"/>
  <c r="R18" s="1"/>
  <c r="M18"/>
  <c r="L18"/>
  <c r="I18"/>
  <c r="H18"/>
  <c r="E18"/>
  <c r="D18"/>
  <c r="Q17"/>
  <c r="P17"/>
  <c r="R17" s="1"/>
  <c r="M17"/>
  <c r="L17"/>
  <c r="I17"/>
  <c r="H17"/>
  <c r="E17"/>
  <c r="D17"/>
  <c r="Q16"/>
  <c r="P16"/>
  <c r="R16" s="1"/>
  <c r="M16"/>
  <c r="L16"/>
  <c r="I16"/>
  <c r="H16"/>
  <c r="E16"/>
  <c r="D16"/>
  <c r="Q15"/>
  <c r="P15"/>
  <c r="M15"/>
  <c r="L15"/>
  <c r="I15"/>
  <c r="H15"/>
  <c r="E15"/>
  <c r="D15"/>
  <c r="Q14"/>
  <c r="R14" s="1"/>
  <c r="P14"/>
  <c r="M14"/>
  <c r="N14" s="1"/>
  <c r="L14"/>
  <c r="I14"/>
  <c r="H14"/>
  <c r="E14"/>
  <c r="D14"/>
  <c r="Q13"/>
  <c r="R13" s="1"/>
  <c r="P13"/>
  <c r="M13"/>
  <c r="N13" s="1"/>
  <c r="L13"/>
  <c r="I13"/>
  <c r="H13"/>
  <c r="E13"/>
  <c r="F13" s="1"/>
  <c r="D13"/>
  <c r="Q12"/>
  <c r="P12"/>
  <c r="M12"/>
  <c r="N12" s="1"/>
  <c r="L12"/>
  <c r="I12"/>
  <c r="H12"/>
  <c r="E12"/>
  <c r="D12"/>
  <c r="Q11"/>
  <c r="P11"/>
  <c r="M11"/>
  <c r="N11" s="1"/>
  <c r="L11"/>
  <c r="I11"/>
  <c r="H11"/>
  <c r="E11"/>
  <c r="D11"/>
  <c r="F43" i="62"/>
  <c r="F42"/>
  <c r="F41"/>
  <c r="F40"/>
  <c r="F39"/>
  <c r="F38"/>
  <c r="F37"/>
  <c r="F36"/>
  <c r="F35"/>
  <c r="F34"/>
  <c r="F33"/>
  <c r="F32"/>
  <c r="F31"/>
  <c r="F30"/>
  <c r="F29"/>
  <c r="F28"/>
  <c r="F27"/>
  <c r="F26"/>
  <c r="F25"/>
  <c r="F24"/>
  <c r="F23"/>
  <c r="F22"/>
  <c r="F21"/>
  <c r="F20"/>
  <c r="F19"/>
  <c r="F18"/>
  <c r="F17"/>
  <c r="F16"/>
  <c r="F15"/>
  <c r="F14"/>
  <c r="F13"/>
  <c r="F12"/>
  <c r="F11"/>
  <c r="F43" i="16"/>
  <c r="E43"/>
  <c r="D43"/>
  <c r="C43"/>
  <c r="G23" i="102"/>
  <c r="G22"/>
  <c r="G21"/>
  <c r="G20"/>
  <c r="G19"/>
  <c r="G18"/>
  <c r="G15"/>
  <c r="G14"/>
  <c r="G13"/>
  <c r="G12"/>
  <c r="G10"/>
  <c r="D41" i="108"/>
  <c r="M40"/>
  <c r="L40"/>
  <c r="F40"/>
  <c r="I40" s="1"/>
  <c r="E40"/>
  <c r="C40"/>
  <c r="M39"/>
  <c r="L39"/>
  <c r="F39"/>
  <c r="J39" s="1"/>
  <c r="E39"/>
  <c r="C39"/>
  <c r="M38"/>
  <c r="L38"/>
  <c r="F38"/>
  <c r="J38" s="1"/>
  <c r="E38"/>
  <c r="C38"/>
  <c r="M37"/>
  <c r="L37"/>
  <c r="F37"/>
  <c r="J37" s="1"/>
  <c r="E37"/>
  <c r="C37"/>
  <c r="M36"/>
  <c r="L36"/>
  <c r="F36"/>
  <c r="I36" s="1"/>
  <c r="O36" s="1"/>
  <c r="E36"/>
  <c r="C36"/>
  <c r="M35"/>
  <c r="L35"/>
  <c r="F35"/>
  <c r="J35" s="1"/>
  <c r="E35"/>
  <c r="C35"/>
  <c r="M34"/>
  <c r="L34"/>
  <c r="F34"/>
  <c r="K34" s="1"/>
  <c r="E34"/>
  <c r="C34"/>
  <c r="M33"/>
  <c r="L33"/>
  <c r="F33"/>
  <c r="J33" s="1"/>
  <c r="E33"/>
  <c r="C33"/>
  <c r="N32"/>
  <c r="M32"/>
  <c r="L32"/>
  <c r="J32"/>
  <c r="E32"/>
  <c r="C32"/>
  <c r="M31"/>
  <c r="L31"/>
  <c r="J31"/>
  <c r="H31"/>
  <c r="N31" s="1"/>
  <c r="E31"/>
  <c r="C31"/>
  <c r="M30"/>
  <c r="L30"/>
  <c r="J30"/>
  <c r="H30"/>
  <c r="N30" s="1"/>
  <c r="C30"/>
  <c r="M29"/>
  <c r="L29"/>
  <c r="F29"/>
  <c r="J29" s="1"/>
  <c r="E29"/>
  <c r="C29"/>
  <c r="M28"/>
  <c r="L28"/>
  <c r="J28"/>
  <c r="H28"/>
  <c r="N28" s="1"/>
  <c r="E28"/>
  <c r="C28"/>
  <c r="M27"/>
  <c r="L27"/>
  <c r="F27"/>
  <c r="I27" s="1"/>
  <c r="O27" s="1"/>
  <c r="E27"/>
  <c r="C27"/>
  <c r="K26"/>
  <c r="J26"/>
  <c r="I26"/>
  <c r="O26" s="1"/>
  <c r="H26"/>
  <c r="N26" s="1"/>
  <c r="M25"/>
  <c r="L25"/>
  <c r="F25"/>
  <c r="I25" s="1"/>
  <c r="O25" s="1"/>
  <c r="E25"/>
  <c r="C25"/>
  <c r="M24"/>
  <c r="L24"/>
  <c r="F24"/>
  <c r="J24" s="1"/>
  <c r="E24"/>
  <c r="C24"/>
  <c r="M23"/>
  <c r="L23"/>
  <c r="F23"/>
  <c r="H23" s="1"/>
  <c r="N23" s="1"/>
  <c r="E23"/>
  <c r="C23"/>
  <c r="M22"/>
  <c r="L22"/>
  <c r="F22"/>
  <c r="K22" s="1"/>
  <c r="E22"/>
  <c r="C22"/>
  <c r="F21"/>
  <c r="K21" s="1"/>
  <c r="E21"/>
  <c r="C21"/>
  <c r="M20"/>
  <c r="L20"/>
  <c r="F20"/>
  <c r="J20" s="1"/>
  <c r="E20"/>
  <c r="C20"/>
  <c r="M19"/>
  <c r="L19"/>
  <c r="F19"/>
  <c r="K19" s="1"/>
  <c r="E19"/>
  <c r="C19"/>
  <c r="M18"/>
  <c r="L18"/>
  <c r="J18"/>
  <c r="H18"/>
  <c r="N18" s="1"/>
  <c r="E18"/>
  <c r="C18"/>
  <c r="M17"/>
  <c r="L17"/>
  <c r="F17"/>
  <c r="H17" s="1"/>
  <c r="N17" s="1"/>
  <c r="E17"/>
  <c r="C17"/>
  <c r="M16"/>
  <c r="F16"/>
  <c r="I16" s="1"/>
  <c r="O16" s="1"/>
  <c r="E16"/>
  <c r="C16"/>
  <c r="K15"/>
  <c r="J15"/>
  <c r="I15"/>
  <c r="O15" s="1"/>
  <c r="H15"/>
  <c r="N15" s="1"/>
  <c r="M14"/>
  <c r="F14"/>
  <c r="K14" s="1"/>
  <c r="E14"/>
  <c r="C14"/>
  <c r="M13"/>
  <c r="F13"/>
  <c r="J13" s="1"/>
  <c r="E13"/>
  <c r="C13"/>
  <c r="M12"/>
  <c r="F12"/>
  <c r="I12" s="1"/>
  <c r="O12" s="1"/>
  <c r="E12"/>
  <c r="C12"/>
  <c r="F11"/>
  <c r="J11" s="1"/>
  <c r="E11"/>
  <c r="C11"/>
  <c r="F10"/>
  <c r="E10"/>
  <c r="C10"/>
  <c r="M9"/>
  <c r="L9"/>
  <c r="F9"/>
  <c r="K9" s="1"/>
  <c r="E9"/>
  <c r="C9"/>
  <c r="N8"/>
  <c r="E8"/>
  <c r="C8"/>
  <c r="F42" i="105"/>
  <c r="J41"/>
  <c r="I41"/>
  <c r="K41" s="1"/>
  <c r="H41"/>
  <c r="E41"/>
  <c r="D41"/>
  <c r="C41"/>
  <c r="J40"/>
  <c r="I40"/>
  <c r="H40"/>
  <c r="E40"/>
  <c r="D40"/>
  <c r="C40"/>
  <c r="J39"/>
  <c r="I39"/>
  <c r="K39" s="1"/>
  <c r="H39"/>
  <c r="E39"/>
  <c r="D39"/>
  <c r="C39"/>
  <c r="J38"/>
  <c r="I38"/>
  <c r="H38"/>
  <c r="E38"/>
  <c r="D38"/>
  <c r="C38"/>
  <c r="J37"/>
  <c r="I37"/>
  <c r="H37"/>
  <c r="E37"/>
  <c r="D37"/>
  <c r="C37"/>
  <c r="J36"/>
  <c r="I36"/>
  <c r="H36"/>
  <c r="E36"/>
  <c r="D36"/>
  <c r="C36"/>
  <c r="J35"/>
  <c r="I35"/>
  <c r="H35"/>
  <c r="E35"/>
  <c r="D35"/>
  <c r="C35"/>
  <c r="J34"/>
  <c r="I34"/>
  <c r="H34"/>
  <c r="E34"/>
  <c r="D34"/>
  <c r="C34"/>
  <c r="J33"/>
  <c r="I33"/>
  <c r="H33"/>
  <c r="D33"/>
  <c r="C33"/>
  <c r="J32"/>
  <c r="I32"/>
  <c r="K32" s="1"/>
  <c r="H32"/>
  <c r="D32"/>
  <c r="C32"/>
  <c r="J31"/>
  <c r="I31"/>
  <c r="H31"/>
  <c r="C31"/>
  <c r="J30"/>
  <c r="I30"/>
  <c r="H30"/>
  <c r="E30"/>
  <c r="D30"/>
  <c r="J29"/>
  <c r="I29"/>
  <c r="K29" s="1"/>
  <c r="H29"/>
  <c r="D29"/>
  <c r="J28"/>
  <c r="I28"/>
  <c r="K28" s="1"/>
  <c r="H28"/>
  <c r="D28"/>
  <c r="J27"/>
  <c r="I27"/>
  <c r="H27"/>
  <c r="J26"/>
  <c r="I26"/>
  <c r="K26" s="1"/>
  <c r="H26"/>
  <c r="E26"/>
  <c r="D26"/>
  <c r="J25"/>
  <c r="I25"/>
  <c r="H25"/>
  <c r="E25"/>
  <c r="D25"/>
  <c r="C25"/>
  <c r="J24"/>
  <c r="I24"/>
  <c r="K24"/>
  <c r="H24"/>
  <c r="E24"/>
  <c r="J23"/>
  <c r="I23"/>
  <c r="K23" s="1"/>
  <c r="H23"/>
  <c r="E23"/>
  <c r="D23"/>
  <c r="J22"/>
  <c r="I22"/>
  <c r="H22"/>
  <c r="J21"/>
  <c r="I21"/>
  <c r="K21" s="1"/>
  <c r="H21"/>
  <c r="D21"/>
  <c r="J20"/>
  <c r="I20"/>
  <c r="K20" s="1"/>
  <c r="H20"/>
  <c r="D20"/>
  <c r="J19"/>
  <c r="I19"/>
  <c r="H19"/>
  <c r="D19"/>
  <c r="J18"/>
  <c r="I18"/>
  <c r="H18"/>
  <c r="D18"/>
  <c r="J17"/>
  <c r="I17"/>
  <c r="H17"/>
  <c r="D17"/>
  <c r="J16"/>
  <c r="I16"/>
  <c r="H16"/>
  <c r="J15"/>
  <c r="I15"/>
  <c r="H15"/>
  <c r="E15"/>
  <c r="D15"/>
  <c r="J14"/>
  <c r="I14"/>
  <c r="H14"/>
  <c r="E14"/>
  <c r="D14"/>
  <c r="J13"/>
  <c r="I13"/>
  <c r="K13" s="1"/>
  <c r="H13"/>
  <c r="D13"/>
  <c r="J12"/>
  <c r="I12"/>
  <c r="H12"/>
  <c r="J11"/>
  <c r="I11"/>
  <c r="H11"/>
  <c r="J10"/>
  <c r="I10"/>
  <c r="K10" s="1"/>
  <c r="H10"/>
  <c r="E10"/>
  <c r="D10"/>
  <c r="J9"/>
  <c r="I9"/>
  <c r="H9"/>
  <c r="D9"/>
  <c r="F15" i="135"/>
  <c r="E15"/>
  <c r="D15"/>
  <c r="G13"/>
  <c r="G12"/>
  <c r="G11"/>
  <c r="G10"/>
  <c r="G9"/>
  <c r="G8"/>
  <c r="C42" i="103"/>
  <c r="D41"/>
  <c r="D40"/>
  <c r="D39"/>
  <c r="D38"/>
  <c r="D37"/>
  <c r="D36"/>
  <c r="D35"/>
  <c r="D34"/>
  <c r="D33"/>
  <c r="D32"/>
  <c r="D31"/>
  <c r="D30"/>
  <c r="D29"/>
  <c r="D28"/>
  <c r="D27"/>
  <c r="D26"/>
  <c r="D25"/>
  <c r="D24"/>
  <c r="D23"/>
  <c r="D22"/>
  <c r="D21"/>
  <c r="D20"/>
  <c r="D19"/>
  <c r="D18"/>
  <c r="D17"/>
  <c r="D16"/>
  <c r="D15"/>
  <c r="D14"/>
  <c r="D13"/>
  <c r="D12"/>
  <c r="D11"/>
  <c r="D10"/>
  <c r="D9"/>
  <c r="J45" i="121"/>
  <c r="I45"/>
  <c r="H45"/>
  <c r="G45"/>
  <c r="F45"/>
  <c r="E45"/>
  <c r="J12" i="108"/>
  <c r="J43" i="65"/>
  <c r="I43"/>
  <c r="H43"/>
  <c r="G43"/>
  <c r="E43"/>
  <c r="C43"/>
  <c r="K42"/>
  <c r="L42"/>
  <c r="D42"/>
  <c r="F42" s="1"/>
  <c r="K41"/>
  <c r="L41" s="1"/>
  <c r="D41"/>
  <c r="F41" s="1"/>
  <c r="K40"/>
  <c r="L40"/>
  <c r="D40"/>
  <c r="F40" s="1"/>
  <c r="K39"/>
  <c r="L39" s="1"/>
  <c r="D39"/>
  <c r="F39" s="1"/>
  <c r="K38"/>
  <c r="L38" s="1"/>
  <c r="D38"/>
  <c r="F38" s="1"/>
  <c r="K37"/>
  <c r="L37" s="1"/>
  <c r="D37"/>
  <c r="F37" s="1"/>
  <c r="K36"/>
  <c r="L36"/>
  <c r="D36"/>
  <c r="F36" s="1"/>
  <c r="K35"/>
  <c r="L35" s="1"/>
  <c r="D35"/>
  <c r="F35" s="1"/>
  <c r="K34"/>
  <c r="L34" s="1"/>
  <c r="D34"/>
  <c r="F34" s="1"/>
  <c r="K33"/>
  <c r="L33" s="1"/>
  <c r="D33"/>
  <c r="F33" s="1"/>
  <c r="K32"/>
  <c r="L32"/>
  <c r="D32"/>
  <c r="F32" s="1"/>
  <c r="K31"/>
  <c r="L31" s="1"/>
  <c r="D31"/>
  <c r="F31" s="1"/>
  <c r="K30"/>
  <c r="L30"/>
  <c r="D30"/>
  <c r="F30" s="1"/>
  <c r="K29"/>
  <c r="L29" s="1"/>
  <c r="D29"/>
  <c r="F29" s="1"/>
  <c r="K28"/>
  <c r="L28"/>
  <c r="D28"/>
  <c r="F28" s="1"/>
  <c r="K27"/>
  <c r="L27" s="1"/>
  <c r="D27"/>
  <c r="F27" s="1"/>
  <c r="K26"/>
  <c r="L26"/>
  <c r="D26"/>
  <c r="F26" s="1"/>
  <c r="K25"/>
  <c r="L25" s="1"/>
  <c r="D25"/>
  <c r="F25" s="1"/>
  <c r="K24"/>
  <c r="L24"/>
  <c r="D24"/>
  <c r="F24" s="1"/>
  <c r="K23"/>
  <c r="L23" s="1"/>
  <c r="D23"/>
  <c r="F23" s="1"/>
  <c r="K22"/>
  <c r="L22"/>
  <c r="D22"/>
  <c r="F22" s="1"/>
  <c r="K21"/>
  <c r="L21" s="1"/>
  <c r="D21"/>
  <c r="F21" s="1"/>
  <c r="K20"/>
  <c r="L20"/>
  <c r="D20"/>
  <c r="F20" s="1"/>
  <c r="K19"/>
  <c r="L19" s="1"/>
  <c r="D19"/>
  <c r="F19" s="1"/>
  <c r="K18"/>
  <c r="L18"/>
  <c r="D18"/>
  <c r="F18" s="1"/>
  <c r="K17"/>
  <c r="L17" s="1"/>
  <c r="D17"/>
  <c r="F17" s="1"/>
  <c r="K16"/>
  <c r="L16"/>
  <c r="D16"/>
  <c r="F16" s="1"/>
  <c r="K15"/>
  <c r="L15" s="1"/>
  <c r="D15"/>
  <c r="F15" s="1"/>
  <c r="K14"/>
  <c r="L14" s="1"/>
  <c r="D14"/>
  <c r="F14" s="1"/>
  <c r="K13"/>
  <c r="L13" s="1"/>
  <c r="D13"/>
  <c r="F13" s="1"/>
  <c r="K12"/>
  <c r="L12"/>
  <c r="D12"/>
  <c r="F12" s="1"/>
  <c r="K11"/>
  <c r="L11" s="1"/>
  <c r="D11"/>
  <c r="F11" s="1"/>
  <c r="K10"/>
  <c r="L10" s="1"/>
  <c r="D10"/>
  <c r="I42" i="119"/>
  <c r="H42"/>
  <c r="G42"/>
  <c r="E42"/>
  <c r="D42"/>
  <c r="J42" i="84"/>
  <c r="C42" s="1"/>
  <c r="I42"/>
  <c r="H42"/>
  <c r="G42"/>
  <c r="F42"/>
  <c r="E42"/>
  <c r="D42"/>
  <c r="C41"/>
  <c r="C40"/>
  <c r="C39"/>
  <c r="C38"/>
  <c r="C37"/>
  <c r="C36"/>
  <c r="C35"/>
  <c r="C34"/>
  <c r="C33"/>
  <c r="C32"/>
  <c r="C31"/>
  <c r="C30"/>
  <c r="C29"/>
  <c r="C28"/>
  <c r="C27"/>
  <c r="C26"/>
  <c r="C25"/>
  <c r="C24"/>
  <c r="C23"/>
  <c r="C22"/>
  <c r="C21"/>
  <c r="C20"/>
  <c r="C19"/>
  <c r="C18"/>
  <c r="C17"/>
  <c r="C16"/>
  <c r="C15"/>
  <c r="C14"/>
  <c r="C13"/>
  <c r="C12"/>
  <c r="C11"/>
  <c r="C10"/>
  <c r="C9"/>
  <c r="D45" i="66"/>
  <c r="C45"/>
  <c r="F44"/>
  <c r="E44"/>
  <c r="F38"/>
  <c r="E38"/>
  <c r="F34"/>
  <c r="E34"/>
  <c r="F33"/>
  <c r="E33"/>
  <c r="F31"/>
  <c r="E31"/>
  <c r="F29"/>
  <c r="E29"/>
  <c r="F23"/>
  <c r="E23"/>
  <c r="F19"/>
  <c r="E19"/>
  <c r="F17"/>
  <c r="E17"/>
  <c r="F15"/>
  <c r="E15"/>
  <c r="F13"/>
  <c r="E13"/>
  <c r="F12"/>
  <c r="E12"/>
  <c r="K43" i="65"/>
  <c r="L43" i="93"/>
  <c r="J43"/>
  <c r="H43"/>
  <c r="F43"/>
  <c r="L42"/>
  <c r="J42"/>
  <c r="H42"/>
  <c r="F42"/>
  <c r="L41"/>
  <c r="J41"/>
  <c r="H41"/>
  <c r="F41"/>
  <c r="L40"/>
  <c r="J40"/>
  <c r="H40"/>
  <c r="F40"/>
  <c r="L39"/>
  <c r="J39"/>
  <c r="H39"/>
  <c r="F39"/>
  <c r="L38"/>
  <c r="J38"/>
  <c r="H38"/>
  <c r="F38"/>
  <c r="L37"/>
  <c r="J37"/>
  <c r="H37"/>
  <c r="F37"/>
  <c r="L36"/>
  <c r="J36"/>
  <c r="H36"/>
  <c r="F36"/>
  <c r="L35"/>
  <c r="J35"/>
  <c r="H35"/>
  <c r="F35"/>
  <c r="L34"/>
  <c r="J34"/>
  <c r="H34"/>
  <c r="F34"/>
  <c r="L33"/>
  <c r="J33"/>
  <c r="H33"/>
  <c r="F33"/>
  <c r="L32"/>
  <c r="J32"/>
  <c r="H32"/>
  <c r="F32"/>
  <c r="L31"/>
  <c r="J31"/>
  <c r="H31"/>
  <c r="F31"/>
  <c r="L30"/>
  <c r="J30"/>
  <c r="H30"/>
  <c r="F30"/>
  <c r="L29"/>
  <c r="J29"/>
  <c r="H29"/>
  <c r="F29"/>
  <c r="L28"/>
  <c r="J28"/>
  <c r="H28"/>
  <c r="F28"/>
  <c r="L27"/>
  <c r="J27"/>
  <c r="H27"/>
  <c r="F27"/>
  <c r="L26"/>
  <c r="J26"/>
  <c r="H26"/>
  <c r="F26"/>
  <c r="L25"/>
  <c r="J25"/>
  <c r="H25"/>
  <c r="F25"/>
  <c r="L24"/>
  <c r="J24"/>
  <c r="H24"/>
  <c r="F24"/>
  <c r="L23"/>
  <c r="J23"/>
  <c r="H23"/>
  <c r="F23"/>
  <c r="L22"/>
  <c r="J22"/>
  <c r="H22"/>
  <c r="F22"/>
  <c r="L21"/>
  <c r="J21"/>
  <c r="H21"/>
  <c r="F21"/>
  <c r="L20"/>
  <c r="J20"/>
  <c r="H20"/>
  <c r="F20"/>
  <c r="L19"/>
  <c r="J19"/>
  <c r="H19"/>
  <c r="F19"/>
  <c r="L18"/>
  <c r="J18"/>
  <c r="H18"/>
  <c r="F18"/>
  <c r="L17"/>
  <c r="J17"/>
  <c r="H17"/>
  <c r="F17"/>
  <c r="L16"/>
  <c r="J16"/>
  <c r="H16"/>
  <c r="F16"/>
  <c r="L15"/>
  <c r="J15"/>
  <c r="H15"/>
  <c r="F15"/>
  <c r="L14"/>
  <c r="J14"/>
  <c r="H14"/>
  <c r="F14"/>
  <c r="L13"/>
  <c r="J13"/>
  <c r="H13"/>
  <c r="F13"/>
  <c r="L12"/>
  <c r="J12"/>
  <c r="H12"/>
  <c r="F12"/>
  <c r="L11"/>
  <c r="J11"/>
  <c r="H11"/>
  <c r="F11"/>
  <c r="L10"/>
  <c r="J10"/>
  <c r="H10"/>
  <c r="F10"/>
  <c r="H12" i="13"/>
  <c r="M41" i="88"/>
  <c r="P20" i="96"/>
  <c r="T20" s="1"/>
  <c r="Q16"/>
  <c r="U16" s="1"/>
  <c r="E45" i="58" l="1"/>
  <c r="J45"/>
  <c r="O44" i="60"/>
  <c r="K14" i="105"/>
  <c r="K18"/>
  <c r="K19"/>
  <c r="K22"/>
  <c r="K25"/>
  <c r="K27"/>
  <c r="K37"/>
  <c r="N15" i="78"/>
  <c r="J17"/>
  <c r="J24"/>
  <c r="R24"/>
  <c r="J25"/>
  <c r="R30"/>
  <c r="M12" i="1"/>
  <c r="M14"/>
  <c r="M16"/>
  <c r="M18"/>
  <c r="M20"/>
  <c r="M22"/>
  <c r="M24"/>
  <c r="M26"/>
  <c r="M28"/>
  <c r="M30"/>
  <c r="M32"/>
  <c r="M34"/>
  <c r="M36"/>
  <c r="M38"/>
  <c r="M40"/>
  <c r="M42"/>
  <c r="M44"/>
  <c r="M12" i="58"/>
  <c r="M14"/>
  <c r="M16"/>
  <c r="M18"/>
  <c r="M20"/>
  <c r="M22"/>
  <c r="M24"/>
  <c r="M26"/>
  <c r="M28"/>
  <c r="M30"/>
  <c r="M32"/>
  <c r="M34"/>
  <c r="M36"/>
  <c r="D45"/>
  <c r="I45"/>
  <c r="M13" i="59"/>
  <c r="M15"/>
  <c r="M17"/>
  <c r="M19"/>
  <c r="M21"/>
  <c r="M23"/>
  <c r="M25"/>
  <c r="M27"/>
  <c r="M29"/>
  <c r="M31"/>
  <c r="M33"/>
  <c r="M35"/>
  <c r="M37"/>
  <c r="M39"/>
  <c r="M41"/>
  <c r="M43"/>
  <c r="J12" i="29"/>
  <c r="I12" s="1"/>
  <c r="J15" i="144"/>
  <c r="J18"/>
  <c r="K21"/>
  <c r="J34"/>
  <c r="I34" s="1"/>
  <c r="Z21" i="88"/>
  <c r="Z25"/>
  <c r="C45" i="58"/>
  <c r="H45"/>
  <c r="M44" i="60"/>
  <c r="L44"/>
  <c r="J45" i="4"/>
  <c r="J45" i="111"/>
  <c r="M21" i="96"/>
  <c r="M26" s="1"/>
  <c r="N20"/>
  <c r="Z18" i="88"/>
  <c r="G45" i="1"/>
  <c r="M13"/>
  <c r="G44" i="58"/>
  <c r="M13"/>
  <c r="J14" i="78"/>
  <c r="J15"/>
  <c r="F17"/>
  <c r="N17"/>
  <c r="F21"/>
  <c r="N21"/>
  <c r="N24"/>
  <c r="N25"/>
  <c r="F27"/>
  <c r="J38"/>
  <c r="R38"/>
  <c r="M17" i="1"/>
  <c r="M21"/>
  <c r="M23"/>
  <c r="M25"/>
  <c r="M27"/>
  <c r="M29"/>
  <c r="M31"/>
  <c r="M33"/>
  <c r="M35"/>
  <c r="M37"/>
  <c r="M39"/>
  <c r="M41"/>
  <c r="M43"/>
  <c r="M11" i="58"/>
  <c r="M15"/>
  <c r="M17"/>
  <c r="M19"/>
  <c r="M21"/>
  <c r="M23"/>
  <c r="M25"/>
  <c r="M27"/>
  <c r="M29"/>
  <c r="M31"/>
  <c r="M33"/>
  <c r="M35"/>
  <c r="F45"/>
  <c r="K45"/>
  <c r="M12" i="59"/>
  <c r="M14"/>
  <c r="M16"/>
  <c r="M18"/>
  <c r="M20"/>
  <c r="M22"/>
  <c r="M24"/>
  <c r="M26"/>
  <c r="M28"/>
  <c r="M30"/>
  <c r="M32"/>
  <c r="M34"/>
  <c r="M36"/>
  <c r="M38"/>
  <c r="M40"/>
  <c r="M42"/>
  <c r="P44" i="60"/>
  <c r="K20" i="144"/>
  <c r="K22"/>
  <c r="I22" s="1"/>
  <c r="J18" i="96"/>
  <c r="R18" s="1"/>
  <c r="V18" s="1"/>
  <c r="Q20"/>
  <c r="U20" s="1"/>
  <c r="E45" i="13"/>
  <c r="K35" i="108"/>
  <c r="I29"/>
  <c r="O29" s="1"/>
  <c r="K25"/>
  <c r="K29"/>
  <c r="D50" i="56"/>
  <c r="W19" i="98"/>
  <c r="V18"/>
  <c r="W18"/>
  <c r="S17" i="78"/>
  <c r="J13"/>
  <c r="J16"/>
  <c r="R19"/>
  <c r="R20"/>
  <c r="J21"/>
  <c r="N27"/>
  <c r="F29"/>
  <c r="F33"/>
  <c r="N33"/>
  <c r="R39"/>
  <c r="S13"/>
  <c r="F14"/>
  <c r="S14" s="1"/>
  <c r="F15"/>
  <c r="F18"/>
  <c r="N18"/>
  <c r="F19"/>
  <c r="N19"/>
  <c r="F24"/>
  <c r="S24" s="1"/>
  <c r="R25"/>
  <c r="S25" s="1"/>
  <c r="F30"/>
  <c r="R33"/>
  <c r="J34"/>
  <c r="J35"/>
  <c r="F41"/>
  <c r="K47" i="88"/>
  <c r="Q41"/>
  <c r="P47"/>
  <c r="AA47"/>
  <c r="AB47"/>
  <c r="Z16"/>
  <c r="Z22"/>
  <c r="Z26"/>
  <c r="G41"/>
  <c r="Z44"/>
  <c r="Z45"/>
  <c r="O20" i="96"/>
  <c r="S20" s="1"/>
  <c r="K21"/>
  <c r="K26" s="1"/>
  <c r="G21"/>
  <c r="G26" s="1"/>
  <c r="J19"/>
  <c r="R19" s="1"/>
  <c r="V19" s="1"/>
  <c r="G45" i="58"/>
  <c r="F44" i="62"/>
  <c r="H45" i="13"/>
  <c r="X14" i="88"/>
  <c r="W47"/>
  <c r="Y47"/>
  <c r="Z37"/>
  <c r="S42"/>
  <c r="Z15"/>
  <c r="Z17"/>
  <c r="Z19"/>
  <c r="Z29"/>
  <c r="Z38"/>
  <c r="S43"/>
  <c r="H16" i="108"/>
  <c r="N16" s="1"/>
  <c r="K17"/>
  <c r="Q28" i="47"/>
  <c r="Q24"/>
  <c r="Q37"/>
  <c r="Q12"/>
  <c r="Q31"/>
  <c r="Q14"/>
  <c r="Q25"/>
  <c r="N44" i="60"/>
  <c r="Q39"/>
  <c r="Q15"/>
  <c r="Q17"/>
  <c r="Q19"/>
  <c r="Q42"/>
  <c r="Q14"/>
  <c r="Q28"/>
  <c r="Q36"/>
  <c r="Q24"/>
  <c r="Q31"/>
  <c r="Q26"/>
  <c r="J17" i="108"/>
  <c r="J34"/>
  <c r="H34"/>
  <c r="N34" s="1"/>
  <c r="H38"/>
  <c r="N38" s="1"/>
  <c r="J25"/>
  <c r="I19"/>
  <c r="O19" s="1"/>
  <c r="K35" i="144"/>
  <c r="J35"/>
  <c r="K16" i="105"/>
  <c r="R15" i="78"/>
  <c r="N23"/>
  <c r="N26"/>
  <c r="S26" s="1"/>
  <c r="J29"/>
  <c r="N30"/>
  <c r="F31"/>
  <c r="R32"/>
  <c r="R35"/>
  <c r="R36"/>
  <c r="R37"/>
  <c r="J39"/>
  <c r="L44" i="58"/>
  <c r="Q13" i="60"/>
  <c r="Q25"/>
  <c r="Q41"/>
  <c r="Q43"/>
  <c r="F45" i="4"/>
  <c r="G44" i="29"/>
  <c r="K44" s="1"/>
  <c r="K13"/>
  <c r="I13" s="1"/>
  <c r="K15"/>
  <c r="J15"/>
  <c r="J17"/>
  <c r="K17"/>
  <c r="K19"/>
  <c r="J19"/>
  <c r="J21"/>
  <c r="K21"/>
  <c r="K23"/>
  <c r="J23"/>
  <c r="J25"/>
  <c r="K25"/>
  <c r="K27"/>
  <c r="J27"/>
  <c r="J29"/>
  <c r="K29"/>
  <c r="K31"/>
  <c r="J31"/>
  <c r="J33"/>
  <c r="K33"/>
  <c r="K35"/>
  <c r="J35"/>
  <c r="J37"/>
  <c r="K37"/>
  <c r="J41"/>
  <c r="K41"/>
  <c r="K27" i="144"/>
  <c r="J27"/>
  <c r="K43"/>
  <c r="J43"/>
  <c r="G47" i="88"/>
  <c r="Z42"/>
  <c r="U18" i="98"/>
  <c r="P44" i="47"/>
  <c r="K42" i="144"/>
  <c r="J42"/>
  <c r="I42" s="1"/>
  <c r="F45" i="66"/>
  <c r="L43" i="65"/>
  <c r="H21" i="108"/>
  <c r="N21" s="1"/>
  <c r="D42" i="103"/>
  <c r="K15" i="105"/>
  <c r="K35"/>
  <c r="R12" i="78"/>
  <c r="J18"/>
  <c r="J19"/>
  <c r="F20"/>
  <c r="N20"/>
  <c r="F28"/>
  <c r="N28"/>
  <c r="N34"/>
  <c r="N41"/>
  <c r="S41" s="1"/>
  <c r="Q23" i="60"/>
  <c r="Q30"/>
  <c r="Q34"/>
  <c r="I11" i="29"/>
  <c r="K40" i="144"/>
  <c r="J40"/>
  <c r="I40" s="1"/>
  <c r="J16" i="96"/>
  <c r="R16" s="1"/>
  <c r="V16" s="1"/>
  <c r="I42" i="105"/>
  <c r="K11"/>
  <c r="K34"/>
  <c r="D44" i="78"/>
  <c r="F12"/>
  <c r="F16"/>
  <c r="N16"/>
  <c r="J20"/>
  <c r="S20" s="1"/>
  <c r="R21"/>
  <c r="S21" s="1"/>
  <c r="J22"/>
  <c r="R22"/>
  <c r="J23"/>
  <c r="J27"/>
  <c r="J28"/>
  <c r="J30"/>
  <c r="S30" s="1"/>
  <c r="J31"/>
  <c r="F32"/>
  <c r="N32"/>
  <c r="R34"/>
  <c r="N36"/>
  <c r="F37"/>
  <c r="F38"/>
  <c r="N42"/>
  <c r="F43"/>
  <c r="R43"/>
  <c r="H23" i="27"/>
  <c r="Q18" i="60"/>
  <c r="Q20"/>
  <c r="Q22"/>
  <c r="Q27"/>
  <c r="Q33"/>
  <c r="Q40"/>
  <c r="I11" i="144"/>
  <c r="I18"/>
  <c r="J23"/>
  <c r="K23"/>
  <c r="K32"/>
  <c r="J32"/>
  <c r="I32" s="1"/>
  <c r="Q30" i="47"/>
  <c r="J39" i="29"/>
  <c r="J44" s="1"/>
  <c r="J43"/>
  <c r="I43" s="1"/>
  <c r="K13" i="144"/>
  <c r="K19"/>
  <c r="I19" s="1"/>
  <c r="I20"/>
  <c r="K30"/>
  <c r="S31" i="88"/>
  <c r="Z39"/>
  <c r="S40"/>
  <c r="Z43"/>
  <c r="U17" i="98"/>
  <c r="Q20" i="47"/>
  <c r="Q29"/>
  <c r="Q35"/>
  <c r="G44"/>
  <c r="Q36"/>
  <c r="I40" i="29"/>
  <c r="I15" i="144"/>
  <c r="I26"/>
  <c r="V17" i="98"/>
  <c r="Q32" i="47"/>
  <c r="Q38"/>
  <c r="Q42"/>
  <c r="J25" i="144"/>
  <c r="I25" s="1"/>
  <c r="J36"/>
  <c r="I36" s="1"/>
  <c r="O17" i="96"/>
  <c r="S17" s="1"/>
  <c r="S21" s="1"/>
  <c r="S26" s="1"/>
  <c r="Z35" i="88"/>
  <c r="S36"/>
  <c r="S39"/>
  <c r="Z46"/>
  <c r="V16" i="98"/>
  <c r="Q16" i="47"/>
  <c r="Q19"/>
  <c r="Q21"/>
  <c r="Q23"/>
  <c r="Q26"/>
  <c r="Q34"/>
  <c r="Q41"/>
  <c r="Q43"/>
  <c r="I35" i="108"/>
  <c r="O35" s="1"/>
  <c r="J21"/>
  <c r="I21"/>
  <c r="O21" s="1"/>
  <c r="I38"/>
  <c r="O38" s="1"/>
  <c r="K16"/>
  <c r="J40"/>
  <c r="C42" i="105"/>
  <c r="E41" i="108"/>
  <c r="I34"/>
  <c r="O34" s="1"/>
  <c r="I17"/>
  <c r="O17" s="1"/>
  <c r="H35"/>
  <c r="N35" s="1"/>
  <c r="H25"/>
  <c r="N25" s="1"/>
  <c r="K38"/>
  <c r="J16"/>
  <c r="H29"/>
  <c r="N29" s="1"/>
  <c r="J36"/>
  <c r="H13"/>
  <c r="N13" s="1"/>
  <c r="I46" i="5"/>
  <c r="I13" i="108"/>
  <c r="O13" s="1"/>
  <c r="I22"/>
  <c r="O22" s="1"/>
  <c r="K36"/>
  <c r="H36"/>
  <c r="N36" s="1"/>
  <c r="L41"/>
  <c r="K13"/>
  <c r="I11"/>
  <c r="O11" s="1"/>
  <c r="K40"/>
  <c r="H22"/>
  <c r="N22" s="1"/>
  <c r="K20"/>
  <c r="J22"/>
  <c r="H20"/>
  <c r="N20" s="1"/>
  <c r="H40"/>
  <c r="F45" i="111"/>
  <c r="J14" i="108"/>
  <c r="M41"/>
  <c r="J27"/>
  <c r="H14"/>
  <c r="N14" s="1"/>
  <c r="I14"/>
  <c r="O14" s="1"/>
  <c r="J19"/>
  <c r="I20"/>
  <c r="O20" s="1"/>
  <c r="H19"/>
  <c r="N19" s="1"/>
  <c r="K27"/>
  <c r="K37"/>
  <c r="I37"/>
  <c r="O37" s="1"/>
  <c r="I23"/>
  <c r="O23" s="1"/>
  <c r="C41"/>
  <c r="H27"/>
  <c r="N27" s="1"/>
  <c r="J23"/>
  <c r="K23"/>
  <c r="E42" i="105"/>
  <c r="D42"/>
  <c r="F10" i="65"/>
  <c r="F43" s="1"/>
  <c r="D43"/>
  <c r="F41" i="108"/>
  <c r="J9"/>
  <c r="I9"/>
  <c r="S15" i="78"/>
  <c r="S44" i="88"/>
  <c r="L47"/>
  <c r="Q15" i="47"/>
  <c r="J10" i="108"/>
  <c r="H10"/>
  <c r="N10" s="1"/>
  <c r="K10"/>
  <c r="H12"/>
  <c r="N12" s="1"/>
  <c r="K12"/>
  <c r="H24"/>
  <c r="N24" s="1"/>
  <c r="I24"/>
  <c r="O24" s="1"/>
  <c r="K24"/>
  <c r="H44" i="78"/>
  <c r="J36"/>
  <c r="N37"/>
  <c r="S37" s="1"/>
  <c r="N40"/>
  <c r="S40" s="1"/>
  <c r="U16" i="98"/>
  <c r="W17"/>
  <c r="I10" i="108"/>
  <c r="O10" s="1"/>
  <c r="K33" i="105"/>
  <c r="K40"/>
  <c r="H37" i="108"/>
  <c r="N37" s="1"/>
  <c r="J11" i="78"/>
  <c r="F22"/>
  <c r="S27"/>
  <c r="F34"/>
  <c r="S34" s="1"/>
  <c r="F35"/>
  <c r="S38"/>
  <c r="F42" i="100"/>
  <c r="G10"/>
  <c r="G42" s="1"/>
  <c r="L45" i="1"/>
  <c r="G23" i="27"/>
  <c r="H23" i="28"/>
  <c r="I12" i="144"/>
  <c r="K16"/>
  <c r="J16"/>
  <c r="G44"/>
  <c r="I21"/>
  <c r="K41"/>
  <c r="J41"/>
  <c r="M44" i="88"/>
  <c r="M47" s="1"/>
  <c r="H9" i="108"/>
  <c r="J42" i="105"/>
  <c r="K11" i="108"/>
  <c r="H11"/>
  <c r="N11" s="1"/>
  <c r="P44" i="78"/>
  <c r="R11"/>
  <c r="J17" i="96"/>
  <c r="I21"/>
  <c r="I26" s="1"/>
  <c r="Q17"/>
  <c r="U17" s="1"/>
  <c r="U21" s="1"/>
  <c r="U26" s="1"/>
  <c r="E45" i="66"/>
  <c r="K9" i="105"/>
  <c r="H42"/>
  <c r="K12"/>
  <c r="K31"/>
  <c r="K33" i="108"/>
  <c r="H33"/>
  <c r="N33" s="1"/>
  <c r="I33"/>
  <c r="O33" s="1"/>
  <c r="K39"/>
  <c r="I39"/>
  <c r="O39" s="1"/>
  <c r="H39"/>
  <c r="N39" s="1"/>
  <c r="L44" i="78"/>
  <c r="L13" i="56"/>
  <c r="Q11" i="60"/>
  <c r="Q12"/>
  <c r="K39" i="144"/>
  <c r="J39"/>
  <c r="P17" i="96"/>
  <c r="T17" s="1"/>
  <c r="N17"/>
  <c r="L21"/>
  <c r="R25" i="98"/>
  <c r="O44" i="47"/>
  <c r="K25" i="98"/>
  <c r="G15" i="135"/>
  <c r="K17" i="105"/>
  <c r="K38"/>
  <c r="F42" i="78"/>
  <c r="S42" s="1"/>
  <c r="L44" i="59"/>
  <c r="Q32" i="60"/>
  <c r="Q37"/>
  <c r="J14" i="144"/>
  <c r="K14"/>
  <c r="K24"/>
  <c r="J24"/>
  <c r="J29"/>
  <c r="K29"/>
  <c r="Y48" i="88"/>
  <c r="N44" i="47"/>
  <c r="P46" i="5"/>
  <c r="K46"/>
  <c r="I30" i="144"/>
  <c r="H21" i="96"/>
  <c r="H26" s="1"/>
  <c r="P18"/>
  <c r="T18" s="1"/>
  <c r="S25" i="98"/>
  <c r="K30" i="105"/>
  <c r="K36"/>
  <c r="F11" i="78"/>
  <c r="J12"/>
  <c r="N22"/>
  <c r="F23"/>
  <c r="R23"/>
  <c r="R29"/>
  <c r="N35"/>
  <c r="N39"/>
  <c r="S39" s="1"/>
  <c r="J43"/>
  <c r="G23" i="28"/>
  <c r="Q16" i="60"/>
  <c r="Q21"/>
  <c r="Q35"/>
  <c r="Q38"/>
  <c r="I13" i="144"/>
  <c r="J17"/>
  <c r="I17" s="1"/>
  <c r="I23"/>
  <c r="I28"/>
  <c r="K31"/>
  <c r="I31" s="1"/>
  <c r="K38"/>
  <c r="I38" s="1"/>
  <c r="Z31" i="88"/>
  <c r="J25" i="98"/>
  <c r="L44" i="47"/>
  <c r="Q18"/>
  <c r="Q29" i="60"/>
  <c r="G35" i="5"/>
  <c r="I27" i="144"/>
  <c r="J33"/>
  <c r="I33" s="1"/>
  <c r="J20" i="96"/>
  <c r="R20" s="1"/>
  <c r="V20" s="1"/>
  <c r="S15" i="88"/>
  <c r="S17"/>
  <c r="S19"/>
  <c r="S21"/>
  <c r="S23"/>
  <c r="S25"/>
  <c r="S27"/>
  <c r="S30"/>
  <c r="S38"/>
  <c r="U15" i="98"/>
  <c r="Q17" i="47"/>
  <c r="Q22"/>
  <c r="Q27"/>
  <c r="Q40"/>
  <c r="I35" i="144"/>
  <c r="Z32" i="88"/>
  <c r="Z40"/>
  <c r="G25" i="14"/>
  <c r="T25" i="98"/>
  <c r="W15"/>
  <c r="M44" i="47"/>
  <c r="Q11"/>
  <c r="Q13"/>
  <c r="S16" i="88"/>
  <c r="S18"/>
  <c r="S20"/>
  <c r="S22"/>
  <c r="S24"/>
  <c r="S26"/>
  <c r="S28"/>
  <c r="W16" i="98"/>
  <c r="Q33" i="47"/>
  <c r="Q39"/>
  <c r="I24" i="144" l="1"/>
  <c r="I41"/>
  <c r="I16"/>
  <c r="I29"/>
  <c r="I14"/>
  <c r="S32" i="78"/>
  <c r="L45" i="58"/>
  <c r="S33" i="78"/>
  <c r="M45" i="1"/>
  <c r="I41" i="29"/>
  <c r="M44" i="58"/>
  <c r="U25" i="98"/>
  <c r="V25"/>
  <c r="S36" i="78"/>
  <c r="S29"/>
  <c r="S12"/>
  <c r="S28"/>
  <c r="S19"/>
  <c r="N44"/>
  <c r="S43"/>
  <c r="S18"/>
  <c r="Q47" i="88"/>
  <c r="S41"/>
  <c r="S47" s="1"/>
  <c r="Z14"/>
  <c r="Z47" s="1"/>
  <c r="X47"/>
  <c r="Q44" i="60"/>
  <c r="K44" i="144"/>
  <c r="T21" i="96"/>
  <c r="T26" s="1"/>
  <c r="P21"/>
  <c r="P26" s="1"/>
  <c r="I39" i="29"/>
  <c r="I35"/>
  <c r="I31"/>
  <c r="I27"/>
  <c r="I23"/>
  <c r="I19"/>
  <c r="I15"/>
  <c r="S22" i="78"/>
  <c r="I43" i="144"/>
  <c r="I37" i="29"/>
  <c r="I33"/>
  <c r="I29"/>
  <c r="I25"/>
  <c r="I21"/>
  <c r="I17"/>
  <c r="S31" i="78"/>
  <c r="S35"/>
  <c r="O21" i="96"/>
  <c r="O26" s="1"/>
  <c r="Q21"/>
  <c r="Q26" s="1"/>
  <c r="S16" i="78"/>
  <c r="K41" i="108"/>
  <c r="F44" i="78"/>
  <c r="S11"/>
  <c r="Q44" i="47"/>
  <c r="S23" i="78"/>
  <c r="J44"/>
  <c r="O9" i="108"/>
  <c r="O41" s="1"/>
  <c r="I41"/>
  <c r="R44" i="78"/>
  <c r="J44" i="144"/>
  <c r="J41" i="108"/>
  <c r="L26" i="96"/>
  <c r="N21"/>
  <c r="N26" s="1"/>
  <c r="R17"/>
  <c r="J21"/>
  <c r="J26" s="1"/>
  <c r="G26" i="14"/>
  <c r="H26" s="1"/>
  <c r="H17"/>
  <c r="K42" i="105"/>
  <c r="W25" i="98"/>
  <c r="I39" i="144"/>
  <c r="H41" i="108"/>
  <c r="N9"/>
  <c r="N41" s="1"/>
  <c r="I44" i="144" l="1"/>
  <c r="I44" i="29"/>
  <c r="V17" i="96"/>
  <c r="V21" s="1"/>
  <c r="V26" s="1"/>
  <c r="R21"/>
  <c r="R26" s="1"/>
  <c r="S44" i="78"/>
</calcChain>
</file>

<file path=xl/sharedStrings.xml><?xml version="1.0" encoding="utf-8"?>
<sst xmlns="http://schemas.openxmlformats.org/spreadsheetml/2006/main" count="4001" uniqueCount="1114">
  <si>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</si>
  <si>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</si>
  <si>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</si>
  <si>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</si>
  <si>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</si>
  <si>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</si>
  <si>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</si>
  <si>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</si>
  <si>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</si>
  <si>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</si>
  <si>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</si>
  <si>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</si>
  <si>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</si>
  <si>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(Signature)</t>
  </si>
  <si>
    <t xml:space="preserve">Secretary of the Nodal Department </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</si>
  <si>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</si>
  <si>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</si>
  <si>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</si>
  <si>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</si>
  <si>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</si>
  <si>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</si>
  <si>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</si>
  <si>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</si>
  <si>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</si>
  <si>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</si>
  <si>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</si>
  <si>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</si>
  <si>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</si>
  <si>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</si>
  <si>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</si>
  <si>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</si>
  <si>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</si>
  <si>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</si>
  <si>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</si>
  <si>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</si>
  <si>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</si>
  <si>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</si>
  <si>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</si>
  <si>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</si>
  <si>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</si>
  <si>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</si>
  <si>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</si>
  <si>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</si>
  <si>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</si>
  <si>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</si>
  <si>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</si>
  <si>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</si>
  <si>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</si>
  <si>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</si>
  <si>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</si>
  <si>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</si>
  <si>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</si>
  <si>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</si>
  <si>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</si>
  <si>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</si>
  <si>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</si>
  <si>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</si>
  <si>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</si>
  <si>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</si>
  <si>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</si>
  <si>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</si>
  <si>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</si>
  <si>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</si>
  <si>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</si>
  <si>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</si>
  <si>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</si>
  <si>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</si>
  <si>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</si>
  <si>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</si>
  <si>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</si>
  <si>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</si>
  <si>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</si>
  <si>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</si>
  <si>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</si>
  <si>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</si>
  <si>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</si>
  <si>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</si>
  <si>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</si>
  <si>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</si>
  <si>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</si>
  <si>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</si>
  <si>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</si>
  <si>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</si>
  <si>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</si>
  <si>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</si>
  <si>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</si>
  <si>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</si>
  <si>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</si>
  <si>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</si>
  <si>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</si>
  <si>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</si>
  <si>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</si>
  <si>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</si>
  <si>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</si>
  <si>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</si>
  <si>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</si>
  <si>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</si>
  <si>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</si>
  <si>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</si>
  <si>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</si>
  <si>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</si>
  <si>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</si>
  <si>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</si>
  <si>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</si>
  <si>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</si>
  <si>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</si>
  <si>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</si>
  <si>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</si>
  <si>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</si>
  <si>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</si>
  <si>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</si>
  <si>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</si>
  <si>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</si>
  <si>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</si>
  <si>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</si>
  <si>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</si>
  <si>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</si>
  <si>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</si>
  <si>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</si>
  <si>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</si>
  <si>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</si>
  <si>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</si>
  <si>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</si>
  <si>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</si>
  <si>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</si>
  <si>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</si>
  <si>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</si>
  <si>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</si>
  <si>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</si>
  <si>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</si>
  <si>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</si>
  <si>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</si>
  <si>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</si>
  <si>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</si>
  <si>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</si>
  <si>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</si>
  <si>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</si>
  <si>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</si>
  <si>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</si>
  <si>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</si>
  <si>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</si>
  <si>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</si>
  <si>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</si>
  <si>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</si>
  <si>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</si>
  <si>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</si>
  <si>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</si>
  <si>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</si>
  <si>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</si>
  <si>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</si>
  <si>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</si>
  <si>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</si>
  <si>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</si>
  <si>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</si>
  <si>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</si>
  <si>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</si>
  <si>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</si>
  <si>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</si>
  <si>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</si>
  <si>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</si>
  <si>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</si>
  <si>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</si>
  <si>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</si>
  <si>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</si>
  <si>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</si>
  <si>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</si>
  <si>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</si>
  <si>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</si>
  <si>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</si>
  <si>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</si>
  <si>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</si>
  <si>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</si>
  <si>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</si>
  <si>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</si>
  <si>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</si>
  <si>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</si>
  <si>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</si>
  <si>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</si>
  <si>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</si>
  <si>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</si>
  <si>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</si>
  <si>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</si>
  <si>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</si>
  <si>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</si>
  <si>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</si>
  <si>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</si>
  <si>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</si>
  <si>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</si>
  <si>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</si>
  <si>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</si>
  <si>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</si>
  <si>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</si>
  <si>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</si>
  <si>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</si>
  <si>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</si>
  <si>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</si>
  <si>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</si>
  <si>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</si>
  <si>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</si>
  <si>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</si>
  <si>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</si>
  <si>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</si>
  <si>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</si>
  <si>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</si>
  <si>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</si>
  <si>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</si>
  <si>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</si>
  <si>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</si>
  <si>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</si>
  <si>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</si>
  <si>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</si>
  <si>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</si>
  <si>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</si>
  <si>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</si>
  <si>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</si>
  <si>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</si>
  <si>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</si>
  <si>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</si>
  <si>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</si>
  <si>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</si>
  <si>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</si>
  <si>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</si>
  <si>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</si>
  <si>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</si>
  <si>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</si>
  <si>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</si>
  <si>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</si>
  <si>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</si>
  <si>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</si>
  <si>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</si>
  <si>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</si>
  <si>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</si>
  <si>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</si>
  <si>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</si>
  <si>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</si>
  <si>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</si>
  <si>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</si>
  <si>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</si>
  <si>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</si>
  <si>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</si>
  <si>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</si>
  <si>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</si>
  <si>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</si>
  <si>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</si>
  <si>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</si>
  <si>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</si>
  <si>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</si>
  <si>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</si>
  <si>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</si>
  <si>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</si>
  <si>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</si>
  <si>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</si>
  <si>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</si>
  <si>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</si>
  <si>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</si>
  <si>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</si>
  <si>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</si>
  <si>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</si>
  <si>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</si>
  <si>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</si>
  <si>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</si>
  <si>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</si>
  <si>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</si>
  <si>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</si>
  <si>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</si>
  <si>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</si>
  <si>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</si>
  <si>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</si>
  <si>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</si>
  <si>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</si>
  <si>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</si>
  <si>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</si>
  <si>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</si>
  <si>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</si>
  <si>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</si>
  <si>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</si>
  <si>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</si>
  <si>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</si>
  <si>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</si>
  <si>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</si>
  <si>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</si>
  <si>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</si>
  <si>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</si>
  <si>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</si>
  <si>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</si>
  <si>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</si>
  <si>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</si>
  <si>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</si>
  <si>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</si>
  <si>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</si>
  <si>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</si>
  <si>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</si>
  <si>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</si>
  <si>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</si>
  <si>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</si>
  <si>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</si>
  <si>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</si>
  <si>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</si>
  <si>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</si>
  <si>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</si>
  <si>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</si>
  <si>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</si>
  <si>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</si>
  <si>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</si>
  <si>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</si>
  <si>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</si>
  <si>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</si>
  <si>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</si>
  <si>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</si>
  <si>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</si>
  <si>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</si>
  <si>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</si>
  <si>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</si>
  <si>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</si>
  <si>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</si>
  <si>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</si>
  <si>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</si>
  <si>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</si>
  <si>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</si>
  <si>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</si>
  <si>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</si>
  <si>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</si>
  <si>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</si>
  <si>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</si>
  <si>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</si>
  <si>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</si>
  <si>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</si>
  <si>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</si>
  <si>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</si>
  <si>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</si>
  <si>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</si>
  <si>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</si>
  <si>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</si>
  <si>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</si>
  <si>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</si>
  <si>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</si>
  <si>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</si>
  <si>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</si>
  <si>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</si>
  <si>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</si>
  <si>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</si>
  <si>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</si>
  <si>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</si>
  <si>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</si>
  <si>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</si>
  <si>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</si>
  <si>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</si>
  <si>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</si>
  <si>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</si>
  <si>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</si>
  <si>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</si>
  <si>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</si>
  <si>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</si>
  <si>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</si>
  <si>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</si>
  <si>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</si>
  <si>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</si>
  <si>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</si>
  <si>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</si>
  <si>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</si>
  <si>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</si>
  <si>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</si>
  <si>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</si>
  <si>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</si>
  <si>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</si>
  <si>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</si>
  <si>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</si>
  <si>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</si>
  <si>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</si>
  <si>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</si>
  <si>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</si>
  <si>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</si>
  <si>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</si>
  <si>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</si>
  <si>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</si>
  <si>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</si>
  <si>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</si>
  <si>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</si>
  <si>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</si>
  <si>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</si>
  <si>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</si>
  <si>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</si>
  <si>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</si>
  <si>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</si>
  <si>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</si>
  <si>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</si>
  <si>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</si>
  <si>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</si>
  <si>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</si>
  <si>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</si>
  <si>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</si>
  <si>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</si>
  <si>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</si>
  <si>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</si>
  <si>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</si>
  <si>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</si>
  <si>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</si>
  <si>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</si>
  <si>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</si>
  <si>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</si>
  <si>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</si>
  <si>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</si>
  <si>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</si>
  <si>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</si>
  <si>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</si>
  <si>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</si>
  <si>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</si>
  <si>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</si>
  <si>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</si>
  <si>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</si>
  <si>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</si>
  <si>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</si>
  <si>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</si>
  <si>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</si>
  <si>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</si>
  <si>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</si>
  <si>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</si>
  <si>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</si>
  <si>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</si>
  <si>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</si>
  <si>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</si>
  <si>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</si>
  <si>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</si>
  <si>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</si>
  <si>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</si>
  <si>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</si>
  <si>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</si>
  <si>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</si>
  <si>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</si>
  <si>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</si>
  <si>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</si>
  <si>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</si>
  <si>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</si>
  <si>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</si>
  <si>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</si>
  <si>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</si>
  <si>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</si>
  <si>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</si>
  <si>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</si>
  <si>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</si>
  <si>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</si>
  <si>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</si>
  <si>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</si>
  <si>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</si>
  <si>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</si>
  <si>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</si>
  <si>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</si>
  <si>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</si>
  <si>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</si>
  <si>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</si>
  <si>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</si>
  <si>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</si>
  <si>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</si>
  <si>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</si>
  <si>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</si>
  <si>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</si>
  <si>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</si>
  <si>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</si>
  <si>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</si>
  <si>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</si>
  <si>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</si>
  <si>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</si>
  <si>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</si>
  <si>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</si>
  <si>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</si>
  <si>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</si>
  <si>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</si>
  <si>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</si>
  <si>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</si>
  <si>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</si>
  <si>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</si>
  <si>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</si>
  <si>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</si>
  <si>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</si>
  <si>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</si>
  <si>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</si>
  <si>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</si>
  <si>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</si>
  <si>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</si>
  <si>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</si>
  <si>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</si>
  <si>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</si>
  <si>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</si>
  <si>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</si>
  <si>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</si>
  <si>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</si>
  <si>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</si>
  <si>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</si>
  <si>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</si>
  <si>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</si>
  <si>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</si>
  <si>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</si>
  <si>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</si>
  <si>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</si>
  <si>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</si>
  <si>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</si>
  <si>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</si>
  <si>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</si>
  <si>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</si>
  <si>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</si>
  <si>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</si>
  <si>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</si>
  <si>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</si>
  <si>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</si>
  <si>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</si>
  <si>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</si>
  <si>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</si>
  <si>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</si>
  <si>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</si>
  <si>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</si>
  <si>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</si>
  <si>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</si>
  <si>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</si>
  <si>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</si>
  <si>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</si>
  <si>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</si>
  <si>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</si>
  <si>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</si>
  <si>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</si>
  <si>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</si>
  <si>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</si>
  <si>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</si>
  <si>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</si>
  <si>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</si>
  <si>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</si>
  <si>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</si>
  <si>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</si>
  <si>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</si>
  <si>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</si>
  <si>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</si>
  <si>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</si>
  <si>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</si>
  <si>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</si>
  <si>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</si>
  <si>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</si>
  <si>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</si>
  <si>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</si>
  <si>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</si>
  <si>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</si>
  <si>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</si>
  <si>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</si>
  <si>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</si>
  <si>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</si>
  <si>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</si>
  <si>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</si>
  <si>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</si>
  <si>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</si>
  <si>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</si>
  <si>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</si>
  <si>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</si>
  <si>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</si>
  <si>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</si>
  <si>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</si>
  <si>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</si>
  <si>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</si>
  <si>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</si>
  <si>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</si>
  <si>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</si>
  <si>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</si>
  <si>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</si>
  <si>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</si>
  <si>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</si>
  <si>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</si>
  <si>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</si>
  <si>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</si>
  <si>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</si>
  <si>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</si>
  <si>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</si>
  <si>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</si>
  <si>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</si>
  <si>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</si>
  <si>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</si>
  <si>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</si>
  <si>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</si>
  <si>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</si>
  <si>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</si>
  <si>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</si>
  <si>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</si>
  <si>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</si>
  <si>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</si>
  <si>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</si>
  <si>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</si>
  <si>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</si>
  <si>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</si>
  <si>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</si>
  <si>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</si>
  <si>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</si>
  <si>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</si>
  <si>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</si>
  <si>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</si>
  <si>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</si>
  <si>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</si>
  <si>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</si>
  <si>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</si>
  <si>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</si>
  <si>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</si>
  <si>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</si>
  <si>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</si>
  <si>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</si>
  <si>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</si>
  <si>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</si>
  <si>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</si>
  <si>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</si>
  <si>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</si>
  <si>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</si>
  <si>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</si>
  <si>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</si>
  <si>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</si>
  <si>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</si>
  <si>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</si>
  <si>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</si>
  <si>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</si>
  <si>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</si>
  <si>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</si>
  <si>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</si>
  <si>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</si>
  <si>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</si>
  <si>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</si>
  <si>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</si>
  <si>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</si>
  <si>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</si>
  <si>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</si>
  <si>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</si>
  <si>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</si>
  <si>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</si>
  <si>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</si>
  <si>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</si>
  <si>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</si>
  <si>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</si>
  <si>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</si>
  <si>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</si>
  <si>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</si>
  <si>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</si>
  <si>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</si>
  <si>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</si>
  <si>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</si>
  <si>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</si>
  <si>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</si>
  <si>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</si>
  <si>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</si>
  <si>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</si>
  <si>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</si>
  <si>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</si>
  <si>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</si>
  <si>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</si>
  <si>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</si>
  <si>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Table: AT-5:  PAB-MDM Approval vs. PERFORMANCE (Primary, Classes I - V) during 2017-18</t>
  </si>
  <si>
    <t>MDM-PAB Approval for 2017-18</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</si>
  <si>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</si>
  <si>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</si>
  <si>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</si>
  <si>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</si>
  <si>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</si>
  <si>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</si>
  <si>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</si>
  <si>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</si>
  <si>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</si>
  <si>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</si>
  <si>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</si>
  <si>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</si>
  <si>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</si>
  <si>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</si>
  <si>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AT-10 :  Utilisation of Central Assistance towards MME  (Primary &amp; Upper Primary,Classes I-VIII) during 2017-18</t>
  </si>
  <si>
    <t>Allocation for  2017-18</t>
  </si>
  <si>
    <t>Table: AT-10 A : Details of Meetings at district level during 2017-18</t>
  </si>
  <si>
    <t>Annual Work Plan and Budget  2018-19</t>
  </si>
  <si>
    <t>*Total sanctioned during 2006-07  to 2017-18</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</si>
  <si>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</si>
  <si>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</si>
  <si>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</si>
  <si>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</si>
  <si>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</si>
  <si>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</si>
  <si>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</si>
  <si>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</si>
  <si>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</si>
  <si>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</si>
  <si>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</si>
  <si>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</si>
  <si>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</si>
  <si>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</si>
  <si>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</si>
  <si>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</si>
  <si>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</si>
  <si>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</si>
  <si>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</si>
  <si>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</si>
  <si>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</si>
  <si>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</si>
  <si>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</si>
  <si>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</si>
  <si>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</si>
  <si>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</si>
  <si>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</si>
  <si>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</si>
  <si>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</si>
  <si>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</si>
  <si>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</si>
  <si>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</si>
  <si>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</si>
  <si>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</si>
  <si>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</si>
  <si>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</si>
  <si>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</si>
  <si>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</si>
  <si>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</si>
  <si>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</si>
  <si>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</si>
  <si>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</si>
  <si>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</si>
  <si>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</si>
  <si>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</si>
  <si>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</si>
  <si>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</si>
  <si>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 A: Proposal for coverage of children and working days  for 2018-19 (Upper Primary,Classes VI-VIII)</t>
  </si>
  <si>
    <t>Table: AT-27 B: Proposal for coverage of children for NCLP Schools during 2018-19</t>
  </si>
  <si>
    <t>Table: AT-28: Requirement of kitchen-cum-stores in the Primary and Upper Primary schools for the year 2018-19</t>
  </si>
  <si>
    <t>Table: AT-28 A: Requirement of kitchen cum stores as per Plinth Area Norm in the Primary and Upper Primary schools for the year 2018-19</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</si>
  <si>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</si>
  <si>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</si>
  <si>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</si>
  <si>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</si>
  <si>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</si>
  <si>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</si>
  <si>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</si>
  <si>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</si>
  <si>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</si>
  <si>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</si>
  <si>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</si>
  <si>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</si>
  <si>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</si>
  <si>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</si>
  <si>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</si>
  <si>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</si>
  <si>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*Total Sanction during 2012-13 to 2017-18</t>
  </si>
  <si>
    <t>Table: AT-27 D</t>
  </si>
  <si>
    <t>Kitchen-cum-store sanctioned during 2006-07 to 2017-18</t>
  </si>
  <si>
    <t>Table: AT- 32</t>
  </si>
  <si>
    <t>Table: AT-32:  PAB-MDM Approval vs. PERFORMANCE (Primary Classes I to V) during 2017-18 - Drought</t>
  </si>
  <si>
    <t>District :</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</si>
  <si>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</si>
  <si>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</si>
  <si>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</si>
  <si>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</si>
  <si>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</si>
  <si>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</si>
  <si>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</si>
  <si>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</si>
  <si>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</si>
  <si>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</si>
  <si>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</si>
  <si>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</si>
  <si>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</si>
  <si>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</si>
  <si>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</si>
  <si>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</si>
  <si>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</si>
  <si>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</si>
  <si>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</si>
  <si>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</si>
  <si>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</si>
  <si>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</si>
  <si>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</si>
  <si>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</si>
  <si>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</si>
  <si>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</si>
  <si>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</si>
  <si>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</si>
  <si>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</si>
  <si>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</si>
  <si>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</si>
  <si>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</si>
  <si>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</si>
  <si>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</si>
  <si>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</si>
  <si>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</si>
  <si>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</si>
  <si>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</si>
  <si>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</si>
  <si>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</si>
  <si>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</si>
  <si>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</si>
  <si>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</si>
  <si>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</si>
  <si>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</si>
  <si>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</si>
  <si>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</si>
  <si>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</si>
  <si>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</si>
  <si>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</si>
  <si>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</si>
  <si>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(For the Period 01.04.17 to 31.03.18)</t>
  </si>
  <si>
    <t>During 01.04.17 to 31.03.2018</t>
  </si>
  <si>
    <t>During 01.04.17 to 31.03.18</t>
  </si>
  <si>
    <t>(For the Period 01.4.17 to 31.03.18)</t>
  </si>
  <si>
    <t>(As on 31st March, 2018)</t>
  </si>
  <si>
    <t>Budget Released till 31.03.2018</t>
  </si>
  <si>
    <t>Feb</t>
  </si>
  <si>
    <t>Mar</t>
  </si>
  <si>
    <t>Apr, 2017</t>
  </si>
  <si>
    <t>Dec, 2017</t>
  </si>
  <si>
    <t>Jan, 2018</t>
  </si>
  <si>
    <t>Coarse Grains</t>
  </si>
  <si>
    <t>Table: AT-31 : Budget Provision for the Year 2018-19</t>
  </si>
  <si>
    <t>Number of School Working Days (Primary,Classes I-V) for 2018-19</t>
  </si>
  <si>
    <t>Table: AT- 10 F</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</si>
  <si>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</si>
  <si>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</si>
  <si>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</si>
  <si>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</si>
  <si>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</si>
  <si>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</si>
  <si>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</si>
  <si>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</si>
  <si>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</si>
  <si>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</si>
  <si>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</si>
  <si>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</si>
  <si>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</si>
  <si>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</si>
  <si>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</si>
  <si>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AT - 10 F</t>
  </si>
  <si>
    <t>Information on Drinking water facilites</t>
  </si>
  <si>
    <t>Table AT-10 F: Information on Drinking water facilites</t>
  </si>
  <si>
    <t>State / UT: Gujarat</t>
  </si>
  <si>
    <t>Ahmedabad</t>
  </si>
  <si>
    <t>Amreli</t>
  </si>
  <si>
    <t>Kheda-Nadiad</t>
  </si>
  <si>
    <t>Anand</t>
  </si>
  <si>
    <t>Banaskantha</t>
  </si>
  <si>
    <t>Bharuch</t>
  </si>
  <si>
    <t>Narmda</t>
  </si>
  <si>
    <t>Bhavnagar</t>
  </si>
  <si>
    <t>Kutch-Bhuj</t>
  </si>
  <si>
    <t>Dangs</t>
  </si>
  <si>
    <t>Gandhinagar</t>
  </si>
  <si>
    <t>Panchmahals</t>
  </si>
  <si>
    <t>Dahod</t>
  </si>
  <si>
    <t>Jamnagar</t>
  </si>
  <si>
    <t>Junagadh</t>
  </si>
  <si>
    <t>Porbandar</t>
  </si>
  <si>
    <t>Mehsana</t>
  </si>
  <si>
    <t>Patan</t>
  </si>
  <si>
    <t>Rajkot</t>
  </si>
  <si>
    <t>Sabarkantha</t>
  </si>
  <si>
    <t>Surat</t>
  </si>
  <si>
    <t>Surendranagar</t>
  </si>
  <si>
    <t>Vadodara</t>
  </si>
  <si>
    <t>Valsad</t>
  </si>
  <si>
    <t>Navsari</t>
  </si>
  <si>
    <t>Tapi</t>
  </si>
  <si>
    <t>Arvalli</t>
  </si>
  <si>
    <t>Botad</t>
  </si>
  <si>
    <t>Chhotaudepur</t>
  </si>
  <si>
    <t>Devbhumi Dwarka</t>
  </si>
  <si>
    <t>Gir Somnath</t>
  </si>
  <si>
    <t>Mahisagar</t>
  </si>
  <si>
    <t>Morbi</t>
  </si>
  <si>
    <t>Mid-Day Meal Scheme</t>
  </si>
  <si>
    <t xml:space="preserve">   State / UT: GUJARAT                                                                                                                                                                             During 01.04.17 to 31.03.2018                                                                                                                                                                                         </t>
  </si>
  <si>
    <t xml:space="preserve"> Gujarat </t>
  </si>
  <si>
    <t>April</t>
  </si>
  <si>
    <t>June</t>
  </si>
  <si>
    <t>July</t>
  </si>
  <si>
    <t>August</t>
  </si>
  <si>
    <t>September</t>
  </si>
  <si>
    <t>October</t>
  </si>
  <si>
    <t>November</t>
  </si>
  <si>
    <t>December</t>
  </si>
  <si>
    <t>January</t>
  </si>
  <si>
    <t>February</t>
  </si>
  <si>
    <t>March</t>
  </si>
  <si>
    <t>AHMADABAD</t>
  </si>
  <si>
    <t>AMRELI</t>
  </si>
  <si>
    <t>ANAND</t>
  </si>
  <si>
    <t>ARVALLI</t>
  </si>
  <si>
    <t>BANAS KANTHA</t>
  </si>
  <si>
    <t>BHARUCH</t>
  </si>
  <si>
    <t>BHAVNAGAR</t>
  </si>
  <si>
    <t>BOTAD</t>
  </si>
  <si>
    <t>CHHOTAUDEPUR</t>
  </si>
  <si>
    <t>DANG</t>
  </si>
  <si>
    <t>DEVBHUMI DWARKA</t>
  </si>
  <si>
    <t>DOHAD</t>
  </si>
  <si>
    <t>GANDHINAGAR</t>
  </si>
  <si>
    <t>GIR SOMNATH</t>
  </si>
  <si>
    <t>JAMNAGAR</t>
  </si>
  <si>
    <t>JUNAGADH</t>
  </si>
  <si>
    <t>KACHCHH</t>
  </si>
  <si>
    <t>KHEDA</t>
  </si>
  <si>
    <t>MAHESANA</t>
  </si>
  <si>
    <t>MAHISAGAR</t>
  </si>
  <si>
    <t>MORBI</t>
  </si>
  <si>
    <t>NARMADA</t>
  </si>
  <si>
    <t>NAVSARI</t>
  </si>
  <si>
    <t>PANCH MAHALS</t>
  </si>
  <si>
    <t>PATAN</t>
  </si>
  <si>
    <t>PORBANDAR</t>
  </si>
  <si>
    <t>RAJKOT</t>
  </si>
  <si>
    <t>SABAR KANTHA</t>
  </si>
  <si>
    <t>SURAT</t>
  </si>
  <si>
    <t>SURENDRANAGAR</t>
  </si>
  <si>
    <t>TAPI</t>
  </si>
  <si>
    <t>VADODARA</t>
  </si>
  <si>
    <t>VALSAD</t>
  </si>
  <si>
    <t>State / UT: GUJARAT</t>
  </si>
  <si>
    <t>Akshaypatra,    
Stri shakti</t>
  </si>
  <si>
    <t>Akshaypatra</t>
  </si>
  <si>
    <t>Stri shakti</t>
  </si>
  <si>
    <t>Nayak Foundation</t>
  </si>
  <si>
    <t>Yes</t>
  </si>
  <si>
    <r>
      <rPr>
        <sz val="11"/>
        <color indexed="8"/>
        <rFont val="Calibri"/>
        <family val="2"/>
      </rPr>
      <t>  Toll free number</t>
    </r>
  </si>
  <si>
    <t>No</t>
  </si>
  <si>
    <r>
      <rPr>
        <sz val="11"/>
        <color indexed="8"/>
        <rFont val="Calibri"/>
        <family val="2"/>
      </rPr>
      <t>  Dedicated landline number</t>
    </r>
  </si>
  <si>
    <r>
      <rPr>
        <sz val="11"/>
        <color indexed="8"/>
        <rFont val="Calibri"/>
        <family val="2"/>
      </rPr>
      <t>  Call centre</t>
    </r>
  </si>
  <si>
    <r>
      <rPr>
        <sz val="11"/>
        <color indexed="8"/>
        <rFont val="Calibri"/>
        <family val="2"/>
      </rPr>
      <t>  Emails</t>
    </r>
  </si>
  <si>
    <r>
      <rPr>
        <sz val="11"/>
        <color indexed="8"/>
        <rFont val="Calibri"/>
        <family val="2"/>
      </rPr>
      <t>  Press news</t>
    </r>
  </si>
  <si>
    <r>
      <rPr>
        <sz val="11"/>
        <color indexed="8"/>
        <rFont val="Calibri"/>
        <family val="2"/>
      </rPr>
      <t>  Radio/T.V.</t>
    </r>
  </si>
  <si>
    <r>
      <rPr>
        <sz val="11"/>
        <color indexed="8"/>
        <rFont val="Calibri"/>
        <family val="2"/>
      </rPr>
      <t>  SMS</t>
    </r>
  </si>
  <si>
    <r>
      <rPr>
        <sz val="11"/>
        <color indexed="8"/>
        <rFont val="Calibri"/>
        <family val="2"/>
      </rPr>
      <t>  Postal system</t>
    </r>
  </si>
  <si>
    <t>21/11/2017</t>
  </si>
  <si>
    <t>Completed</t>
  </si>
  <si>
    <t>Forwarded to Collector in order to take necessary action</t>
  </si>
  <si>
    <t>BHavnagar</t>
  </si>
  <si>
    <t>28/8/17</t>
  </si>
  <si>
    <t>19/4/17</t>
  </si>
  <si>
    <t>Honorarium amount (Rs. In lakhs)</t>
  </si>
  <si>
    <t>Engaged in 2016-17</t>
  </si>
  <si>
    <t>*Total sanction during 2006-07 to 2016-17</t>
  </si>
  <si>
    <t>Financial
 ( Rs. in lakh)  [col. 4-col.6-col.8]</t>
  </si>
  <si>
    <t>As on 31st March, 2018)</t>
  </si>
  <si>
    <t>Financial ( Rs. in   lakh)                        [col. 4-col.6-col.8]</t>
  </si>
  <si>
    <t>Nil</t>
  </si>
  <si>
    <t>Table AT - 10 B : Details of Social Audit during 2017-18</t>
  </si>
  <si>
    <t>State/UT: GUJARAT</t>
  </si>
  <si>
    <t xml:space="preserve">During 01.04.17 to 31.3.18 </t>
  </si>
  <si>
    <t>NIL</t>
  </si>
  <si>
    <t xml:space="preserve">                                                                                                  Annual Work Plan and Budget 2018-19</t>
  </si>
  <si>
    <t xml:space="preserve">Name of the Accredited / Recognised lab </t>
  </si>
  <si>
    <t xml:space="preserve">engaged for testing </t>
  </si>
  <si>
    <t>Food &amp; Drugs Laboratory, Baroda</t>
  </si>
  <si>
    <t>Sub Standard -districts are urged to take action</t>
  </si>
  <si>
    <t>Regional Food Laboratory, Rajkot</t>
  </si>
  <si>
    <t>Bhavanagar</t>
  </si>
  <si>
    <t xml:space="preserve">Junagadh </t>
  </si>
  <si>
    <t xml:space="preserve">valsad </t>
  </si>
  <si>
    <t>Foransic  Science Laboratory, Gandhinagar</t>
  </si>
  <si>
    <t>During 01.04.17 to 31.3.18</t>
  </si>
  <si>
    <t>Akshayapatra,Stri Shakti</t>
  </si>
  <si>
    <t>Akshayapatra</t>
  </si>
  <si>
    <t>Stri Shakti</t>
  </si>
  <si>
    <t>State/UT GUJARAT</t>
  </si>
  <si>
    <t>Table: AT-27 C</t>
  </si>
  <si>
    <t>Table: AT-27C: Proposal for coverage of children and working days  for Primary (Classes I-V) in Drought affected areas  during 2017-18</t>
  </si>
  <si>
    <t>State / UT:GUJARAT</t>
  </si>
  <si>
    <t>Proposed number of children</t>
  </si>
  <si>
    <t>Requirement of funds for Foodgrains (Rs. in lakhs)</t>
  </si>
  <si>
    <t>Requirement of Cooking Assistance (Rs. in lakh)</t>
  </si>
  <si>
    <t xml:space="preserve">***Requirement of Transport Assistance 
 (Rs. in lakhs) </t>
  </si>
  <si>
    <t xml:space="preserve">*Total </t>
  </si>
  <si>
    <t>*Rice</t>
  </si>
  <si>
    <t>*Wheat</t>
  </si>
  <si>
    <t>*Coarse Grains</t>
  </si>
  <si>
    <r>
      <t xml:space="preserve">Total  </t>
    </r>
    <r>
      <rPr>
        <b/>
        <i/>
        <sz val="10"/>
        <rFont val="Arial"/>
        <family val="2"/>
      </rPr>
      <t xml:space="preserve"> </t>
    </r>
  </si>
  <si>
    <t xml:space="preserve"># Rice </t>
  </si>
  <si>
    <t xml:space="preserve">## Wheat </t>
  </si>
  <si>
    <t xml:space="preserve">$Central share   </t>
  </si>
  <si>
    <t xml:space="preserve">**State </t>
  </si>
  <si>
    <t xml:space="preserve">Tax per MT foodgrain, if any : </t>
  </si>
  <si>
    <t>*</t>
  </si>
  <si>
    <t>States / UTs will indicate their choice.</t>
  </si>
  <si>
    <t>#</t>
  </si>
  <si>
    <t>col. 6 x Rs.  3000.00 + VAT/Other taxes</t>
  </si>
  <si>
    <t>##</t>
  </si>
  <si>
    <t>col. 7 x Rs. 2000.00 + VAT/Other taxes</t>
  </si>
  <si>
    <t>$</t>
  </si>
  <si>
    <t>(col.3 x col.4 x Rs. 3.72 for NER States and 3 hilly States), (col.7 x col. 8 x Rs. 4.13 for UTs) and (col. 7 x col. 8 x Rs. 2.48 for other States)</t>
  </si>
  <si>
    <t>**</t>
  </si>
  <si>
    <t>col.3 x col.4 x State's / UT's share</t>
  </si>
  <si>
    <t>***</t>
  </si>
  <si>
    <t xml:space="preserve">[col. 5]x Rs. PDS rate for Special Category States  </t>
  </si>
  <si>
    <t xml:space="preserve">[col. 5]x Rs. 750 for other States/UTs. </t>
  </si>
  <si>
    <r>
      <t xml:space="preserve">Total  </t>
    </r>
    <r>
      <rPr>
        <b/>
        <i/>
        <sz val="10"/>
        <color indexed="8"/>
        <rFont val="Arial"/>
        <family val="2"/>
      </rPr>
      <t xml:space="preserve"> </t>
    </r>
  </si>
  <si>
    <t>Table: AT-27 D: Proposal for coverage of children and working days  for  Upper Primary (Classes VI-VIII)in Drought affected areas  during 2017-18</t>
  </si>
  <si>
    <t xml:space="preserve">***Requirement of Transport Assistance                           (Rs. in lakhs) </t>
  </si>
  <si>
    <t>(col.3 x col.4 x Rs. 5.56 for NER States and 3 hilly States), (col.7 x col. 8 x Rs. 6.18 for UTs) and (col. 7 x col. 8 x Rs. 3.71 for other States)</t>
  </si>
  <si>
    <t>Deputy Collector</t>
  </si>
  <si>
    <t>Mamalatdar</t>
  </si>
  <si>
    <t>Clerk</t>
  </si>
  <si>
    <t>Peon</t>
  </si>
  <si>
    <t>State Project Co-ordinetor</t>
  </si>
  <si>
    <t>Dist. Project Co-ordinetor</t>
  </si>
  <si>
    <t>Consultant</t>
  </si>
  <si>
    <t>Driver</t>
  </si>
  <si>
    <t>Superwiser</t>
  </si>
  <si>
    <t xml:space="preserve">Data </t>
  </si>
  <si>
    <t>Financial ( Rs. in lakh) [col. 4-col.6-col.8]</t>
  </si>
  <si>
    <t>Dang</t>
  </si>
  <si>
    <t>Kheda</t>
  </si>
  <si>
    <t>Kutch</t>
  </si>
  <si>
    <t>Narmada</t>
  </si>
  <si>
    <t>Panchmahal</t>
  </si>
  <si>
    <t>Dev. Dwarka</t>
  </si>
  <si>
    <t>TOTAL</t>
  </si>
  <si>
    <t>AHMEDABAD</t>
  </si>
  <si>
    <t>BANASKANTHA</t>
  </si>
  <si>
    <t>BHAVANAGAR</t>
  </si>
  <si>
    <t>CHHOTA UDEPUR</t>
  </si>
  <si>
    <t>DAHOD</t>
  </si>
  <si>
    <t>KUTCH</t>
  </si>
  <si>
    <t>MEHSANA</t>
  </si>
  <si>
    <t>PANCHMAHAL</t>
  </si>
  <si>
    <t>SABARKANTHA</t>
  </si>
  <si>
    <t xml:space="preserve">Gujarat </t>
  </si>
  <si>
    <t xml:space="preserve">                                                           [Mid-Day Meal Scheme]                                                                  Table:AT-14</t>
  </si>
  <si>
    <t>Sr.No.</t>
  </si>
  <si>
    <t>No. of schoolshaving tasting register</t>
  </si>
  <si>
    <t>In kind Kg.</t>
  </si>
  <si>
    <t>various Food items such as Wits,Ris,Dal, oil, fruits, sweets, snacks &amp; milk, etc.</t>
  </si>
  <si>
    <t>Food items  (Rice,Wheat)</t>
  </si>
  <si>
    <t>Food items (Rice,Wheat)</t>
  </si>
  <si>
    <t xml:space="preserve">Food items </t>
  </si>
  <si>
    <t>State: Gujarat</t>
  </si>
  <si>
    <t>Cnetre Share</t>
  </si>
  <si>
    <t xml:space="preserve">Foodgrains (Wheat/Rice) </t>
  </si>
  <si>
    <t>Sukhadi</t>
  </si>
  <si>
    <t>45 gm</t>
  </si>
  <si>
    <t>once a week</t>
  </si>
  <si>
    <t>55 gm</t>
  </si>
  <si>
    <t>20 gm</t>
  </si>
  <si>
    <t>25 gm</t>
  </si>
  <si>
    <t>oil</t>
  </si>
  <si>
    <t>10 gm</t>
  </si>
  <si>
    <t>Jaggery</t>
  </si>
  <si>
    <t>15 gm</t>
  </si>
  <si>
    <t>Milk ( 12 District &amp; 26 Blocks)</t>
  </si>
  <si>
    <t>200 ml.</t>
  </si>
  <si>
    <t>5 days a week</t>
  </si>
  <si>
    <t>Tax Charged on Food Grain by Concerned Department</t>
  </si>
  <si>
    <t>Name of Tax</t>
  </si>
  <si>
    <t>Rate ( in %)</t>
  </si>
  <si>
    <t>Chotta udepur</t>
  </si>
  <si>
    <t>Dev bhumi dwarka</t>
  </si>
  <si>
    <t xml:space="preserve">Gir somnath </t>
  </si>
  <si>
    <t xml:space="preserve">Mahisagar </t>
  </si>
  <si>
    <t>State / UT:Gujarat</t>
  </si>
  <si>
    <t xml:space="preserve">No. of working days (During 01.04.17 to 31.12.17)                  </t>
  </si>
  <si>
    <t xml:space="preserve">State / UT: Gujarat </t>
  </si>
  <si>
    <t>r</t>
  </si>
  <si>
    <t>rice</t>
  </si>
  <si>
    <t>wheat</t>
  </si>
  <si>
    <t>Total(A)</t>
  </si>
  <si>
    <t>B</t>
  </si>
  <si>
    <t>Name of corporation</t>
  </si>
  <si>
    <t>By Donation,N.G.O orCommunity</t>
  </si>
  <si>
    <t xml:space="preserve">NOTE: It include government schools information of gujarat state  </t>
  </si>
  <si>
    <t xml:space="preserve">vacation </t>
  </si>
  <si>
    <t>ARAVALLI</t>
  </si>
  <si>
    <t>DEVBHOOMI DWARKA</t>
  </si>
  <si>
    <t>THE DANGS</t>
  </si>
  <si>
    <t>Table: AT-4A</t>
  </si>
  <si>
    <t xml:space="preserve">State / UT:Gujarat </t>
  </si>
  <si>
    <t>(For the Period 01.4.17 to 31.3.18</t>
  </si>
  <si>
    <t>Table - AT - 10 B</t>
  </si>
  <si>
    <t xml:space="preserve">State / UT:  Gujarat </t>
  </si>
  <si>
    <t>No. of Inst. For which Monthly data entry completed                                                          During 01.04.17 to 31.03.2018</t>
  </si>
  <si>
    <t>State/UT:- Gujarat                                                                                                                                        Table: AT-29 : Requirement of Kitchen Devices during 2018-19 in Primary &amp; Upper Primary Schools</t>
  </si>
  <si>
    <t>27/04/2017</t>
  </si>
  <si>
    <t>23/05/2017</t>
  </si>
  <si>
    <t>24/05/2017</t>
  </si>
  <si>
    <t>25/05/2017</t>
  </si>
  <si>
    <t>26/05/2017</t>
  </si>
  <si>
    <t>15/12/2017</t>
  </si>
  <si>
    <t>15/01/2018</t>
  </si>
  <si>
    <t>16/1/2018</t>
  </si>
  <si>
    <t>17/1/2018</t>
  </si>
  <si>
    <t>18/1/2018</t>
  </si>
  <si>
    <t>2d Instalment Final</t>
  </si>
  <si>
    <t>6/1//2018</t>
  </si>
  <si>
    <t xml:space="preserve">Total Unspent Balance as on 31.12.2017   </t>
  </si>
  <si>
    <t>Kachchh Bhuj</t>
  </si>
  <si>
    <t xml:space="preserve">Total Unspent Balance as on 31.12.2017                                            </t>
  </si>
  <si>
    <t>STATE/UT : __Gujarat _______________</t>
  </si>
  <si>
    <t>Table AT - 8 :UTILIZATION OF CENTRAL ASSISTANCE TOWARDS HONORARIUM TO COOK-CUM-HELPERS (Primary classes I-V &amp; Upper Primary classes VI-VIII))</t>
  </si>
  <si>
    <t>Unspent Balance as on 31.12.2017</t>
  </si>
  <si>
    <t>E-Transfer</t>
  </si>
  <si>
    <t>STATE/UT: ___Gujarat ______________</t>
  </si>
  <si>
    <t>Note:Cook-cum-helpers are working  from std 1 to 8 which is mentioned in statement AT-8,so AT-8A is indicated as NIL.</t>
  </si>
  <si>
    <t>Table: AT-9 : Utilisation of Central Assitance towards Transportation Assistance (Primary &amp; Upper Primary,Classes I-VIII) during 2016-17</t>
  </si>
  <si>
    <t>Opening balance as on 01.04.16</t>
  </si>
  <si>
    <r>
      <t xml:space="preserve">Unspent Balance as on 31.12.17  [Col. 4+ Col.5-Col.6] </t>
    </r>
    <r>
      <rPr>
        <sz val="10"/>
        <rFont val="Arial"/>
        <family val="2"/>
      </rPr>
      <t xml:space="preserve"> </t>
    </r>
  </si>
  <si>
    <t>Unspent balance as on 31.12.17               [Col: (4+5)-7]</t>
  </si>
  <si>
    <t>Table: AT-4A: Enrolment vis-a-vis availed for MDM  (Upper Primary, Classes VI - VIII) 2017-18</t>
  </si>
  <si>
    <t>TotalEnrolment (As on 30.09.2017)</t>
  </si>
  <si>
    <t xml:space="preserve">              of Labour Department. </t>
  </si>
  <si>
    <t>Commissioner</t>
  </si>
  <si>
    <t>Joint Commissioner</t>
  </si>
  <si>
    <t>Ass.commissioner</t>
  </si>
  <si>
    <t>_A</t>
  </si>
  <si>
    <r>
      <t xml:space="preserve">No. of working days </t>
    </r>
    <r>
      <rPr>
        <b/>
        <sz val="8"/>
        <rFont val="Arial"/>
        <family val="2"/>
      </rPr>
      <t xml:space="preserve">(During 01.04.17 to 31.03.18)     </t>
    </r>
    <r>
      <rPr>
        <b/>
        <sz val="10"/>
        <rFont val="Arial"/>
        <family val="2"/>
      </rPr>
      <t xml:space="preserve">             </t>
    </r>
  </si>
  <si>
    <t xml:space="preserve">Surendranagar </t>
  </si>
  <si>
    <t>Note: No new School havin inbuild Kitchen-cum-store facility and We have utilized all the grant</t>
  </si>
  <si>
    <t xml:space="preserve">MDM CENTER </t>
  </si>
  <si>
    <t>AMOUNT</t>
  </si>
  <si>
    <r>
      <t xml:space="preserve">PER KITCHEN RS. 15000 </t>
    </r>
    <r>
      <rPr>
        <sz val="16"/>
        <rFont val="Arial"/>
        <family val="2"/>
      </rPr>
      <t>SO</t>
    </r>
    <r>
      <rPr>
        <sz val="28"/>
        <rFont val="Arial"/>
        <family val="2"/>
      </rPr>
      <t xml:space="preserve">   30980*15000=464700000</t>
    </r>
  </si>
  <si>
    <t xml:space="preserve">                          Government of Gujarat</t>
  </si>
  <si>
    <t xml:space="preserve">Commissiner </t>
  </si>
  <si>
    <t>Government Of Gujarat</t>
  </si>
  <si>
    <t>During 01.04.17 to 31.12.18</t>
  </si>
  <si>
    <t>During 01.04.17 to 31.12.2018</t>
  </si>
  <si>
    <t>SURENDRNAGAR</t>
  </si>
  <si>
    <t xml:space="preserve"> Note : Expenditure of milk in  Surendrnagar( 0.76 lakh )and  RAJKOT (17.01 lakh)</t>
  </si>
  <si>
    <t>we have provided 200ml milk (5 days per a week)</t>
  </si>
  <si>
    <t xml:space="preserve">Note : The estimated cost of MDM kitchen devices with above stated facility would be approximately 15000 per unit. It is proposed to purchase30980 MDM kitchen in the schools of MDM. The total estimated cost would be Rs.46.47 crore. </t>
  </si>
</sst>
</file>

<file path=xl/styles.xml><?xml version="1.0" encoding="utf-8"?>
<styleSheet xmlns="http://schemas.openxmlformats.org/spreadsheetml/2006/main">
  <numFmts count="3">
    <numFmt numFmtId="164" formatCode="_ * #,##0.00_ ;_ * \-#,##0.00_ ;_ * &quot;-&quot;??_ ;_ @_ "/>
    <numFmt numFmtId="165" formatCode="0.000"/>
    <numFmt numFmtId="166" formatCode="0.0"/>
  </numFmts>
  <fonts count="1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b/>
      <sz val="14"/>
      <name val="Trebuchet MS"/>
      <family val="2"/>
    </font>
    <font>
      <b/>
      <sz val="11"/>
      <name val="Trebuchet MS"/>
      <family val="2"/>
    </font>
    <font>
      <b/>
      <i/>
      <u/>
      <sz val="14"/>
      <name val="Arial"/>
      <family val="2"/>
    </font>
    <font>
      <b/>
      <i/>
      <sz val="11"/>
      <name val="Calibri"/>
      <family val="2"/>
    </font>
    <font>
      <sz val="11"/>
      <name val="Calibri"/>
      <family val="2"/>
    </font>
    <font>
      <b/>
      <sz val="12"/>
      <name val="Calibri"/>
      <family val="2"/>
    </font>
    <font>
      <b/>
      <i/>
      <u/>
      <sz val="11"/>
      <name val="Arial"/>
      <family val="2"/>
    </font>
    <font>
      <sz val="11"/>
      <name val="Trebuchet MS"/>
      <family val="2"/>
    </font>
    <font>
      <sz val="72"/>
      <name val="Arial"/>
      <family val="2"/>
    </font>
    <font>
      <b/>
      <sz val="72"/>
      <name val="Arial"/>
      <family val="2"/>
    </font>
    <font>
      <sz val="11"/>
      <name val="Shruti"/>
      <family val="2"/>
    </font>
    <font>
      <b/>
      <sz val="72"/>
      <color indexed="8"/>
      <name val="Arial"/>
      <family val="2"/>
    </font>
    <font>
      <b/>
      <sz val="48"/>
      <name val="Arial"/>
      <family val="2"/>
    </font>
    <font>
      <sz val="48"/>
      <name val="Arial"/>
      <family val="2"/>
    </font>
    <font>
      <b/>
      <i/>
      <sz val="10"/>
      <color indexed="8"/>
      <name val="Arial"/>
      <family val="2"/>
    </font>
    <font>
      <sz val="12"/>
      <name val="Verdana"/>
      <family val="2"/>
    </font>
    <font>
      <b/>
      <sz val="11"/>
      <name val="Verdana"/>
      <family val="2"/>
    </font>
    <font>
      <b/>
      <sz val="12"/>
      <name val="Verdana"/>
      <family val="2"/>
    </font>
    <font>
      <i/>
      <sz val="11"/>
      <name val="Trebuchet MS"/>
      <family val="2"/>
    </font>
    <font>
      <b/>
      <sz val="9"/>
      <name val="Bookman Old Style"/>
      <family val="1"/>
    </font>
    <font>
      <sz val="10"/>
      <name val="Arial"/>
      <family val="2"/>
    </font>
    <font>
      <b/>
      <i/>
      <sz val="12"/>
      <name val="Arial"/>
      <family val="2"/>
    </font>
    <font>
      <sz val="12"/>
      <name val="Bookman Old Style"/>
      <family val="1"/>
    </font>
    <font>
      <sz val="12"/>
      <color indexed="59"/>
      <name val="Bookman Old Style"/>
      <family val="1"/>
    </font>
    <font>
      <sz val="12"/>
      <color indexed="8"/>
      <name val="Bookman Old Style"/>
      <family val="1"/>
    </font>
    <font>
      <b/>
      <sz val="13"/>
      <name val="Bookman Old Style"/>
      <family val="1"/>
    </font>
    <font>
      <b/>
      <sz val="13"/>
      <color indexed="8"/>
      <name val="Bookman Old Style"/>
      <family val="1"/>
    </font>
    <font>
      <b/>
      <sz val="12"/>
      <color indexed="8"/>
      <name val="Bookman Old Style"/>
      <family val="1"/>
    </font>
    <font>
      <sz val="22"/>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b/>
      <i/>
      <sz val="10"/>
      <color theme="1"/>
      <name val="Calibri"/>
      <family val="2"/>
      <scheme val="minor"/>
    </font>
    <font>
      <sz val="10"/>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8"/>
      <color rgb="FF000000"/>
      <name val="Tahoma"/>
      <family val="2"/>
    </font>
    <font>
      <sz val="11"/>
      <color rgb="FF000000"/>
      <name val="Calibri"/>
      <family val="2"/>
    </font>
    <font>
      <sz val="12"/>
      <color rgb="FF000000"/>
      <name val="Calibri"/>
      <family val="2"/>
    </font>
    <font>
      <sz val="10"/>
      <color theme="1"/>
      <name val="Calibri"/>
      <family val="2"/>
      <scheme val="minor"/>
    </font>
    <font>
      <sz val="10"/>
      <color theme="1"/>
      <name val="Arial"/>
      <family val="2"/>
    </font>
    <font>
      <sz val="11"/>
      <color theme="1"/>
      <name val="Arial"/>
      <family val="2"/>
    </font>
    <font>
      <sz val="14"/>
      <color theme="1"/>
      <name val="Calibri"/>
      <family val="2"/>
      <scheme val="minor"/>
    </font>
    <font>
      <b/>
      <sz val="10"/>
      <color theme="1"/>
      <name val="Arial"/>
      <family val="2"/>
    </font>
    <font>
      <i/>
      <sz val="11"/>
      <color theme="1"/>
      <name val="Calibri"/>
      <family val="2"/>
      <scheme val="minor"/>
    </font>
    <font>
      <b/>
      <sz val="9"/>
      <color theme="1"/>
      <name val="Bookman Old Style"/>
      <family val="1"/>
    </font>
    <font>
      <b/>
      <sz val="11"/>
      <name val="Calibri"/>
      <family val="2"/>
      <scheme val="minor"/>
    </font>
    <font>
      <sz val="11"/>
      <color rgb="FF333333"/>
      <name val="Arial"/>
      <family val="2"/>
    </font>
    <font>
      <sz val="8"/>
      <color theme="1"/>
      <name val="Calibri"/>
      <family val="2"/>
      <scheme val="minor"/>
    </font>
    <font>
      <b/>
      <sz val="11"/>
      <color rgb="FFFF0000"/>
      <name val="Arial"/>
      <family val="2"/>
    </font>
    <font>
      <b/>
      <sz val="11"/>
      <color theme="1"/>
      <name val="Arial"/>
      <family val="2"/>
    </font>
    <font>
      <sz val="12"/>
      <color theme="1"/>
      <name val="Bookman Old Style"/>
      <family val="1"/>
    </font>
    <font>
      <sz val="12"/>
      <color rgb="FFFF0000"/>
      <name val="Bookman Old Style"/>
      <family val="1"/>
    </font>
    <font>
      <b/>
      <sz val="13"/>
      <color theme="1"/>
      <name val="Bookman Old Style"/>
      <family val="1"/>
    </font>
    <font>
      <b/>
      <sz val="13"/>
      <color rgb="FFFF0000"/>
      <name val="Bookman Old Style"/>
      <family val="1"/>
    </font>
    <font>
      <b/>
      <sz val="18"/>
      <color theme="1"/>
      <name val="Calibri"/>
      <family val="2"/>
      <scheme val="minor"/>
    </font>
    <font>
      <b/>
      <sz val="10"/>
      <color theme="1"/>
      <name val="Cambria"/>
      <family val="1"/>
      <scheme val="major"/>
    </font>
    <font>
      <b/>
      <sz val="48"/>
      <color theme="1"/>
      <name val="Arial"/>
      <family val="2"/>
    </font>
    <font>
      <b/>
      <i/>
      <u/>
      <sz val="12"/>
      <color theme="1"/>
      <name val="Arial"/>
      <family val="2"/>
    </font>
    <font>
      <b/>
      <sz val="12"/>
      <color theme="1"/>
      <name val="Arial"/>
      <family val="2"/>
    </font>
    <font>
      <b/>
      <sz val="16"/>
      <color theme="1"/>
      <name val="Arial"/>
      <family val="2"/>
    </font>
    <font>
      <b/>
      <u/>
      <sz val="10"/>
      <color theme="1"/>
      <name val="Arial"/>
      <family val="2"/>
    </font>
    <font>
      <b/>
      <sz val="8"/>
      <color theme="1"/>
      <name val="Calibri"/>
      <family val="2"/>
      <scheme val="minor"/>
    </font>
    <font>
      <sz val="11"/>
      <name val="Calibri"/>
      <family val="2"/>
      <scheme val="minor"/>
    </font>
    <font>
      <b/>
      <sz val="22"/>
      <name val="Arial"/>
      <family val="2"/>
    </font>
    <font>
      <sz val="11"/>
      <color theme="1"/>
      <name val="Calibri"/>
      <family val="2"/>
      <charset val="1"/>
      <scheme val="minor"/>
    </font>
    <font>
      <sz val="10"/>
      <color rgb="FFFF0000"/>
      <name val="Arial"/>
      <family val="2"/>
    </font>
    <font>
      <sz val="16"/>
      <name val="Arial"/>
      <family val="2"/>
    </font>
    <font>
      <sz val="28"/>
      <name val="Arial"/>
      <family val="2"/>
    </font>
    <font>
      <b/>
      <sz val="9"/>
      <name val="Arial"/>
      <family val="2"/>
    </font>
    <font>
      <sz val="9"/>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0F0F0"/>
        <bgColor indexed="64"/>
      </patternFill>
    </fill>
    <fill>
      <patternFill patternType="solid">
        <fgColor rgb="FFF9F9F9"/>
        <bgColor indexed="64"/>
      </patternFill>
    </fill>
    <fill>
      <patternFill patternType="solid">
        <fgColor rgb="FFFFFFFF"/>
        <bgColor indexed="64"/>
      </patternFill>
    </fill>
    <fill>
      <patternFill patternType="solid">
        <fgColor rgb="FFF5F5F5"/>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double">
        <color indexed="64"/>
      </right>
      <top style="thin">
        <color indexed="64"/>
      </top>
      <bottom style="thin">
        <color indexed="64"/>
      </bottom>
      <diagonal/>
    </border>
  </borders>
  <cellStyleXfs count="52">
    <xf numFmtId="0" fontId="0" fillId="0" borderId="0"/>
    <xf numFmtId="0" fontId="74" fillId="0" borderId="0"/>
    <xf numFmtId="0" fontId="74" fillId="0" borderId="0"/>
    <xf numFmtId="0" fontId="11" fillId="0" borderId="0"/>
    <xf numFmtId="0" fontId="74" fillId="0" borderId="0"/>
    <xf numFmtId="0" fontId="74" fillId="0" borderId="0"/>
    <xf numFmtId="0" fontId="74" fillId="0" borderId="0"/>
    <xf numFmtId="0" fontId="74" fillId="0" borderId="0"/>
    <xf numFmtId="0" fontId="11" fillId="0" borderId="0"/>
    <xf numFmtId="0" fontId="11" fillId="0" borderId="0"/>
    <xf numFmtId="0" fontId="11" fillId="0" borderId="0"/>
    <xf numFmtId="0" fontId="65" fillId="0" borderId="0"/>
    <xf numFmtId="0" fontId="11" fillId="0" borderId="0"/>
    <xf numFmtId="0" fontId="11" fillId="0" borderId="0"/>
    <xf numFmtId="0" fontId="11" fillId="0" borderId="0"/>
    <xf numFmtId="0" fontId="4" fillId="0" borderId="0"/>
    <xf numFmtId="0" fontId="115" fillId="0" borderId="0"/>
    <xf numFmtId="0" fontId="4" fillId="0" borderId="0"/>
    <xf numFmtId="0" fontId="4" fillId="0" borderId="0"/>
    <xf numFmtId="0" fontId="4" fillId="0" borderId="0"/>
    <xf numFmtId="0" fontId="90" fillId="0" borderId="0"/>
    <xf numFmtId="0" fontId="4" fillId="0" borderId="0"/>
    <xf numFmtId="0" fontId="4" fillId="0" borderId="0"/>
    <xf numFmtId="164" fontId="11" fillId="0" borderId="0" applyFont="0" applyFill="0" applyBorder="0" applyAlignment="0" applyProtection="0"/>
    <xf numFmtId="9"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673">
    <xf numFmtId="0" fontId="0" fillId="0" borderId="0" xfId="0"/>
    <xf numFmtId="0" fontId="6" fillId="0" borderId="0" xfId="0" applyFont="1" applyAlignment="1">
      <alignment horizontal="center"/>
    </xf>
    <xf numFmtId="0" fontId="6" fillId="0" borderId="1" xfId="0" applyFont="1" applyBorder="1" applyAlignment="1">
      <alignment horizontal="center" vertical="top" wrapText="1"/>
    </xf>
    <xf numFmtId="0" fontId="6" fillId="0" borderId="2" xfId="0" applyFont="1" applyBorder="1" applyAlignment="1">
      <alignment horizontal="center"/>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4" xfId="0" applyBorder="1"/>
    <xf numFmtId="0" fontId="0" fillId="0" borderId="0" xfId="0" applyFill="1" applyBorder="1" applyAlignment="1">
      <alignment horizontal="left"/>
    </xf>
    <xf numFmtId="0" fontId="6" fillId="0" borderId="0" xfId="0" applyFont="1" applyBorder="1" applyAlignment="1">
      <alignment horizontal="center"/>
    </xf>
    <xf numFmtId="0" fontId="0" fillId="0" borderId="0" xfId="0" applyBorder="1"/>
    <xf numFmtId="0" fontId="10" fillId="0" borderId="0" xfId="0" applyFont="1"/>
    <xf numFmtId="0" fontId="6" fillId="0" borderId="0" xfId="0" applyFont="1"/>
    <xf numFmtId="0" fontId="11" fillId="0" borderId="0" xfId="0" applyFont="1"/>
    <xf numFmtId="0" fontId="6" fillId="0" borderId="0" xfId="0" applyFont="1" applyBorder="1" applyAlignment="1">
      <alignment horizontal="right"/>
    </xf>
    <xf numFmtId="0" fontId="11" fillId="0" borderId="2" xfId="0" applyFont="1" applyBorder="1" applyAlignment="1">
      <alignment horizontal="center" vertical="top" wrapText="1"/>
    </xf>
    <xf numFmtId="0" fontId="11" fillId="0" borderId="2" xfId="0" applyFont="1" applyBorder="1" applyAlignment="1">
      <alignment horizontal="center"/>
    </xf>
    <xf numFmtId="0" fontId="11" fillId="0" borderId="2" xfId="0" applyFont="1" applyBorder="1"/>
    <xf numFmtId="0" fontId="11" fillId="0" borderId="2" xfId="0" quotePrefix="1" applyFont="1" applyBorder="1" applyAlignment="1">
      <alignment horizontal="center"/>
    </xf>
    <xf numFmtId="0" fontId="11" fillId="0" borderId="0" xfId="0" applyFont="1" applyFill="1" applyBorder="1" applyAlignment="1">
      <alignment horizontal="left"/>
    </xf>
    <xf numFmtId="0" fontId="11" fillId="0" borderId="0" xfId="0" applyFont="1" applyBorder="1"/>
    <xf numFmtId="0" fontId="13" fillId="0" borderId="0" xfId="0" applyFont="1" applyAlignment="1">
      <alignment horizontal="center"/>
    </xf>
    <xf numFmtId="0" fontId="6" fillId="0" borderId="6" xfId="0" applyFont="1" applyFill="1" applyBorder="1" applyAlignment="1">
      <alignment horizontal="center" vertical="top" wrapText="1"/>
    </xf>
    <xf numFmtId="0" fontId="6" fillId="0" borderId="2" xfId="0" applyFont="1" applyFill="1" applyBorder="1" applyAlignment="1">
      <alignment horizontal="center" vertical="top" wrapText="1"/>
    </xf>
    <xf numFmtId="0" fontId="11" fillId="0" borderId="5" xfId="0" applyFont="1" applyBorder="1"/>
    <xf numFmtId="0" fontId="11" fillId="0" borderId="6" xfId="0" applyFont="1" applyBorder="1"/>
    <xf numFmtId="0" fontId="6" fillId="0" borderId="2" xfId="0" applyFont="1" applyBorder="1"/>
    <xf numFmtId="0" fontId="6" fillId="0" borderId="0" xfId="0" applyFont="1" applyBorder="1"/>
    <xf numFmtId="0" fontId="6" fillId="0" borderId="0" xfId="0" applyFont="1" applyAlignment="1">
      <alignment horizontal="left"/>
    </xf>
    <xf numFmtId="0" fontId="6" fillId="0" borderId="0" xfId="0" applyFont="1" applyAlignment="1">
      <alignment horizontal="right"/>
    </xf>
    <xf numFmtId="0" fontId="6" fillId="0" borderId="0" xfId="0" applyFont="1" applyAlignment="1"/>
    <xf numFmtId="0" fontId="11" fillId="0" borderId="0" xfId="0" applyFont="1" applyAlignment="1">
      <alignment vertical="top" wrapText="1"/>
    </xf>
    <xf numFmtId="0" fontId="11" fillId="0" borderId="2" xfId="0" applyFont="1" applyBorder="1" applyAlignment="1">
      <alignment vertical="top" wrapText="1"/>
    </xf>
    <xf numFmtId="0" fontId="6" fillId="0" borderId="2" xfId="0" applyFont="1" applyBorder="1" applyAlignment="1">
      <alignment vertical="top" wrapText="1"/>
    </xf>
    <xf numFmtId="0" fontId="10" fillId="0" borderId="0" xfId="0" applyFont="1" applyAlignment="1">
      <alignment horizontal="center"/>
    </xf>
    <xf numFmtId="0" fontId="7" fillId="0" borderId="0" xfId="0" applyFont="1" applyAlignment="1">
      <alignment horizontal="right"/>
    </xf>
    <xf numFmtId="0" fontId="7" fillId="0" borderId="0" xfId="0" applyFont="1" applyAlignment="1"/>
    <xf numFmtId="0" fontId="15" fillId="0" borderId="0" xfId="0" applyFont="1" applyAlignment="1"/>
    <xf numFmtId="0" fontId="16" fillId="0" borderId="0" xfId="0" applyFont="1" applyAlignment="1"/>
    <xf numFmtId="0" fontId="9" fillId="0" borderId="0" xfId="0" applyFont="1" applyAlignment="1">
      <alignment horizontal="center"/>
    </xf>
    <xf numFmtId="0" fontId="17" fillId="0" borderId="0" xfId="0" applyFont="1"/>
    <xf numFmtId="0" fontId="19" fillId="0" borderId="2" xfId="0" applyFont="1" applyBorder="1" applyAlignment="1">
      <alignment horizontal="center"/>
    </xf>
    <xf numFmtId="0" fontId="19" fillId="0" borderId="2" xfId="0" applyFont="1" applyBorder="1" applyAlignment="1">
      <alignment horizontal="center" vertical="top" wrapText="1"/>
    </xf>
    <xf numFmtId="0" fontId="17" fillId="0" borderId="2" xfId="0" applyFont="1" applyBorder="1"/>
    <xf numFmtId="0" fontId="17" fillId="0" borderId="2" xfId="0" applyFont="1" applyBorder="1" applyAlignment="1">
      <alignment horizontal="center"/>
    </xf>
    <xf numFmtId="0" fontId="19" fillId="0" borderId="0" xfId="0" applyFont="1"/>
    <xf numFmtId="0" fontId="17" fillId="0" borderId="0" xfId="0" applyFont="1" applyBorder="1"/>
    <xf numFmtId="0" fontId="17" fillId="0" borderId="0" xfId="0" applyFont="1" applyAlignment="1">
      <alignment horizontal="center" vertical="top" wrapText="1"/>
    </xf>
    <xf numFmtId="0" fontId="17" fillId="0" borderId="0" xfId="0" applyFont="1" applyAlignment="1">
      <alignment vertical="top" wrapText="1"/>
    </xf>
    <xf numFmtId="0" fontId="17" fillId="0" borderId="2" xfId="0" applyFont="1" applyBorder="1" applyAlignment="1">
      <alignment horizontal="center" vertical="top" wrapText="1"/>
    </xf>
    <xf numFmtId="0" fontId="17" fillId="0" borderId="2" xfId="0" applyFont="1" applyBorder="1" applyAlignment="1">
      <alignment vertical="top" wrapText="1"/>
    </xf>
    <xf numFmtId="0" fontId="19" fillId="0" borderId="2" xfId="0" applyFont="1" applyBorder="1" applyAlignment="1">
      <alignment vertical="top" wrapText="1"/>
    </xf>
    <xf numFmtId="0" fontId="19" fillId="0" borderId="2" xfId="0" applyFont="1" applyFill="1" applyBorder="1" applyAlignment="1">
      <alignment vertical="top" wrapText="1"/>
    </xf>
    <xf numFmtId="0" fontId="17" fillId="0" borderId="0" xfId="0" applyFont="1" applyBorder="1" applyAlignment="1">
      <alignment vertical="top" wrapText="1"/>
    </xf>
    <xf numFmtId="0" fontId="19" fillId="0" borderId="0" xfId="0" applyFont="1" applyFill="1" applyBorder="1" applyAlignment="1">
      <alignment vertical="top" wrapText="1"/>
    </xf>
    <xf numFmtId="0" fontId="17" fillId="0" borderId="0" xfId="0" applyFont="1" applyBorder="1" applyAlignment="1">
      <alignment horizontal="center" vertical="top" wrapText="1"/>
    </xf>
    <xf numFmtId="0" fontId="20" fillId="0" borderId="0" xfId="0" applyFont="1" applyAlignment="1">
      <alignment horizontal="center" vertical="top" wrapText="1"/>
    </xf>
    <xf numFmtId="0" fontId="21" fillId="0" borderId="2" xfId="0" applyFont="1" applyBorder="1" applyAlignment="1">
      <alignment horizontal="center" vertical="top" wrapText="1"/>
    </xf>
    <xf numFmtId="0" fontId="6" fillId="0" borderId="2" xfId="0" applyFont="1" applyBorder="1" applyAlignment="1">
      <alignment horizontal="center" vertical="top"/>
    </xf>
    <xf numFmtId="0" fontId="21" fillId="0" borderId="0" xfId="0" applyFont="1"/>
    <xf numFmtId="0" fontId="0" fillId="0" borderId="5" xfId="0" applyBorder="1"/>
    <xf numFmtId="0" fontId="21" fillId="0" borderId="2" xfId="0" quotePrefix="1" applyFont="1" applyBorder="1" applyAlignment="1">
      <alignment horizontal="center" vertical="top" wrapText="1"/>
    </xf>
    <xf numFmtId="0" fontId="19" fillId="0" borderId="2" xfId="0" applyFont="1" applyBorder="1" applyAlignment="1">
      <alignment horizontal="left"/>
    </xf>
    <xf numFmtId="0" fontId="19" fillId="0" borderId="2" xfId="0" applyFont="1" applyBorder="1" applyAlignment="1">
      <alignment horizontal="center" wrapText="1"/>
    </xf>
    <xf numFmtId="0" fontId="24" fillId="0" borderId="2" xfId="1" applyFont="1" applyBorder="1" applyAlignment="1">
      <alignment horizontal="center" vertical="top" wrapText="1"/>
    </xf>
    <xf numFmtId="0" fontId="74" fillId="0" borderId="0" xfId="1"/>
    <xf numFmtId="0" fontId="74" fillId="0" borderId="0" xfId="1" applyAlignment="1">
      <alignment horizontal="left"/>
    </xf>
    <xf numFmtId="0" fontId="25" fillId="0" borderId="0" xfId="1" applyFont="1" applyAlignment="1">
      <alignment horizontal="left"/>
    </xf>
    <xf numFmtId="0" fontId="74" fillId="0" borderId="7" xfId="1" applyBorder="1" applyAlignment="1">
      <alignment horizontal="center"/>
    </xf>
    <xf numFmtId="0" fontId="22" fillId="0" borderId="0" xfId="1" applyFont="1"/>
    <xf numFmtId="0" fontId="22" fillId="0" borderId="0" xfId="1" applyFont="1" applyAlignment="1">
      <alignment horizontal="center"/>
    </xf>
    <xf numFmtId="0" fontId="74" fillId="0" borderId="2" xfId="1" applyBorder="1"/>
    <xf numFmtId="0" fontId="74" fillId="0" borderId="0" xfId="1" applyBorder="1"/>
    <xf numFmtId="0" fontId="6" fillId="0" borderId="0" xfId="0" applyFont="1" applyAlignment="1">
      <alignment vertical="top" wrapText="1"/>
    </xf>
    <xf numFmtId="0" fontId="26" fillId="0" borderId="3" xfId="1" applyFont="1" applyBorder="1" applyAlignment="1">
      <alignment horizontal="center" vertical="top" wrapText="1"/>
    </xf>
    <xf numFmtId="0" fontId="26" fillId="0" borderId="2" xfId="1" applyFont="1" applyBorder="1" applyAlignment="1">
      <alignment horizontal="center" vertical="top" wrapText="1"/>
    </xf>
    <xf numFmtId="0" fontId="22" fillId="0" borderId="0" xfId="1" applyFont="1" applyBorder="1" applyAlignment="1">
      <alignment horizontal="left"/>
    </xf>
    <xf numFmtId="0" fontId="11" fillId="0" borderId="0" xfId="8"/>
    <xf numFmtId="0" fontId="16" fillId="0" borderId="0" xfId="8" applyFont="1" applyAlignment="1">
      <alignment horizontal="center"/>
    </xf>
    <xf numFmtId="0" fontId="9" fillId="0" borderId="0" xfId="8" applyFont="1" applyAlignment="1">
      <alignment horizontal="center"/>
    </xf>
    <xf numFmtId="0" fontId="8" fillId="0" borderId="0" xfId="8" applyFont="1"/>
    <xf numFmtId="0" fontId="6" fillId="0" borderId="2" xfId="8" applyFont="1" applyBorder="1" applyAlignment="1">
      <alignment horizontal="center"/>
    </xf>
    <xf numFmtId="0" fontId="6" fillId="0" borderId="2" xfId="8" applyFont="1" applyBorder="1" applyAlignment="1">
      <alignment horizontal="center" vertical="top" wrapText="1"/>
    </xf>
    <xf numFmtId="0" fontId="6" fillId="0" borderId="4" xfId="8" applyFont="1" applyBorder="1" applyAlignment="1">
      <alignment horizontal="center" vertical="top" wrapText="1"/>
    </xf>
    <xf numFmtId="0" fontId="6" fillId="0" borderId="5" xfId="8" applyFont="1" applyBorder="1" applyAlignment="1">
      <alignment horizontal="center" vertical="top" wrapText="1"/>
    </xf>
    <xf numFmtId="0" fontId="11" fillId="0" borderId="2" xfId="8" applyBorder="1"/>
    <xf numFmtId="0" fontId="11" fillId="0" borderId="0" xfId="8" applyFill="1" applyBorder="1" applyAlignment="1">
      <alignment horizontal="left"/>
    </xf>
    <xf numFmtId="0" fontId="6" fillId="0" borderId="0" xfId="8" applyFont="1" applyBorder="1" applyAlignment="1">
      <alignment horizontal="center"/>
    </xf>
    <xf numFmtId="0" fontId="11" fillId="0" borderId="0" xfId="8" applyBorder="1"/>
    <xf numFmtId="0" fontId="10" fillId="0" borderId="0" xfId="8" applyFont="1"/>
    <xf numFmtId="0" fontId="6" fillId="0" borderId="0" xfId="8" applyFont="1"/>
    <xf numFmtId="0" fontId="7" fillId="0" borderId="0" xfId="8" applyFont="1" applyAlignment="1"/>
    <xf numFmtId="0" fontId="21" fillId="0" borderId="7" xfId="0" applyFont="1" applyBorder="1" applyAlignment="1"/>
    <xf numFmtId="0" fontId="6" fillId="0" borderId="6" xfId="0" applyFont="1" applyBorder="1" applyAlignment="1">
      <alignment horizontal="center" vertical="top" wrapText="1"/>
    </xf>
    <xf numFmtId="0" fontId="7" fillId="0" borderId="0" xfId="0" applyFont="1" applyAlignment="1">
      <alignment horizontal="center"/>
    </xf>
    <xf numFmtId="0" fontId="11" fillId="0" borderId="8" xfId="0" applyFont="1" applyBorder="1"/>
    <xf numFmtId="0" fontId="6" fillId="0" borderId="9" xfId="0" applyFont="1" applyFill="1" applyBorder="1" applyAlignment="1">
      <alignment horizontal="center" vertical="top" wrapText="1"/>
    </xf>
    <xf numFmtId="0" fontId="11" fillId="0" borderId="2" xfId="0" applyFont="1" applyBorder="1" applyAlignment="1">
      <alignment horizontal="center" vertical="center" wrapText="1"/>
    </xf>
    <xf numFmtId="0" fontId="10" fillId="0" borderId="0" xfId="0" applyFont="1" applyAlignment="1"/>
    <xf numFmtId="0" fontId="6" fillId="0" borderId="10" xfId="0" applyFont="1" applyFill="1" applyBorder="1" applyAlignment="1">
      <alignment horizontal="center" vertical="top" wrapText="1"/>
    </xf>
    <xf numFmtId="0" fontId="21" fillId="0" borderId="0" xfId="0" applyFont="1" applyBorder="1" applyAlignment="1"/>
    <xf numFmtId="0" fontId="28" fillId="0" borderId="0" xfId="1" applyFont="1"/>
    <xf numFmtId="0" fontId="17" fillId="0" borderId="0" xfId="0" applyFont="1" applyBorder="1" applyAlignment="1"/>
    <xf numFmtId="0" fontId="6" fillId="0" borderId="0" xfId="0" applyFont="1" applyBorder="1" applyAlignment="1">
      <alignment horizontal="center" vertical="top"/>
    </xf>
    <xf numFmtId="0" fontId="6" fillId="0" borderId="0" xfId="0" applyFont="1" applyBorder="1" applyAlignment="1">
      <alignment horizontal="center" vertical="top" wrapText="1"/>
    </xf>
    <xf numFmtId="0" fontId="6" fillId="0" borderId="0" xfId="8" applyFont="1" applyBorder="1"/>
    <xf numFmtId="0" fontId="10" fillId="0" borderId="0" xfId="0" applyFont="1" applyBorder="1"/>
    <xf numFmtId="0" fontId="24" fillId="0" borderId="3" xfId="1" applyFont="1" applyBorder="1" applyAlignment="1">
      <alignment horizontal="center" vertical="top" wrapText="1"/>
    </xf>
    <xf numFmtId="0" fontId="10" fillId="0" borderId="2" xfId="0" applyFont="1" applyBorder="1"/>
    <xf numFmtId="0" fontId="6" fillId="0" borderId="0" xfId="0" applyFont="1" applyAlignment="1">
      <alignment horizontal="center" vertical="top" wrapText="1"/>
    </xf>
    <xf numFmtId="0" fontId="15" fillId="0" borderId="0" xfId="0" applyFont="1" applyAlignment="1">
      <alignment horizontal="center"/>
    </xf>
    <xf numFmtId="0" fontId="21" fillId="0" borderId="7" xfId="0" applyFont="1" applyBorder="1" applyAlignment="1">
      <alignment horizontal="center"/>
    </xf>
    <xf numFmtId="0" fontId="11" fillId="0" borderId="0" xfId="0" applyFont="1" applyAlignment="1">
      <alignment horizontal="center"/>
    </xf>
    <xf numFmtId="0" fontId="10" fillId="0" borderId="0" xfId="8" applyFont="1" applyAlignment="1">
      <alignment horizontal="center"/>
    </xf>
    <xf numFmtId="0" fontId="22" fillId="0" borderId="2" xfId="1" applyFont="1" applyBorder="1" applyAlignment="1">
      <alignment horizontal="center"/>
    </xf>
    <xf numFmtId="0" fontId="22" fillId="0" borderId="0" xfId="1" applyFont="1" applyAlignment="1">
      <alignment horizontal="center" vertical="top" wrapText="1"/>
    </xf>
    <xf numFmtId="0" fontId="22" fillId="0" borderId="2" xfId="1" applyFont="1" applyBorder="1" applyAlignment="1">
      <alignment horizontal="center" vertical="top" wrapText="1"/>
    </xf>
    <xf numFmtId="0" fontId="15" fillId="0" borderId="0" xfId="8" applyFont="1" applyAlignment="1"/>
    <xf numFmtId="0" fontId="21" fillId="0" borderId="0" xfId="0" applyFont="1" applyBorder="1" applyAlignment="1">
      <alignment horizontal="center"/>
    </xf>
    <xf numFmtId="0" fontId="10" fillId="0" borderId="7" xfId="0" applyFont="1" applyBorder="1" applyAlignment="1"/>
    <xf numFmtId="0" fontId="6" fillId="0" borderId="10" xfId="8" applyFont="1" applyFill="1" applyBorder="1" applyAlignment="1">
      <alignment horizontal="center" vertical="top" wrapText="1"/>
    </xf>
    <xf numFmtId="0" fontId="11" fillId="0" borderId="0" xfId="8" applyAlignment="1">
      <alignment horizontal="left"/>
    </xf>
    <xf numFmtId="0" fontId="10" fillId="0" borderId="0" xfId="8" applyFont="1" applyAlignment="1">
      <alignment vertical="top" wrapText="1"/>
    </xf>
    <xf numFmtId="0" fontId="18" fillId="0" borderId="0" xfId="0" applyFont="1" applyAlignment="1">
      <alignment horizontal="left"/>
    </xf>
    <xf numFmtId="0" fontId="11" fillId="0" borderId="0" xfId="1" applyFont="1"/>
    <xf numFmtId="0" fontId="6" fillId="0" borderId="2" xfId="1" applyFont="1" applyBorder="1" applyAlignment="1">
      <alignment horizontal="center" vertical="top" wrapText="1"/>
    </xf>
    <xf numFmtId="0" fontId="11" fillId="0" borderId="2" xfId="1" applyFont="1" applyBorder="1"/>
    <xf numFmtId="0" fontId="6" fillId="0" borderId="2" xfId="1" applyFont="1" applyBorder="1"/>
    <xf numFmtId="0" fontId="21" fillId="0" borderId="2" xfId="0" applyFont="1" applyBorder="1" applyAlignment="1">
      <alignment horizontal="center"/>
    </xf>
    <xf numFmtId="0" fontId="29" fillId="0" borderId="2" xfId="0" applyFont="1" applyBorder="1" applyAlignment="1">
      <alignment horizontal="center" vertical="top" wrapText="1"/>
    </xf>
    <xf numFmtId="0" fontId="30" fillId="0" borderId="0" xfId="0" applyFont="1" applyAlignment="1">
      <alignment vertical="top" wrapText="1"/>
    </xf>
    <xf numFmtId="0" fontId="11" fillId="0" borderId="2" xfId="0" applyFont="1" applyBorder="1" applyAlignment="1">
      <alignment wrapText="1"/>
    </xf>
    <xf numFmtId="0" fontId="6" fillId="0" borderId="11" xfId="8" applyFont="1" applyFill="1" applyBorder="1" applyAlignment="1">
      <alignment horizontal="center" vertical="top" wrapText="1"/>
    </xf>
    <xf numFmtId="0" fontId="11" fillId="0" borderId="2" xfId="0" applyFont="1" applyBorder="1" applyAlignment="1">
      <alignment horizontal="center" vertical="center"/>
    </xf>
    <xf numFmtId="0" fontId="11" fillId="0" borderId="2" xfId="0" applyFont="1" applyBorder="1" applyAlignment="1">
      <alignment horizontal="left" vertical="top" wrapText="1"/>
    </xf>
    <xf numFmtId="0" fontId="6" fillId="0" borderId="0" xfId="0" applyFont="1" applyBorder="1" applyAlignment="1"/>
    <xf numFmtId="0" fontId="19" fillId="0" borderId="0" xfId="0" applyFont="1" applyAlignment="1">
      <alignment horizontal="right" vertical="top" wrapText="1"/>
    </xf>
    <xf numFmtId="0" fontId="0" fillId="0" borderId="0" xfId="0" applyAlignment="1">
      <alignment horizontal="center"/>
    </xf>
    <xf numFmtId="0" fontId="0" fillId="0" borderId="6" xfId="0" applyBorder="1"/>
    <xf numFmtId="0" fontId="10" fillId="0" borderId="0" xfId="0" applyFont="1" applyBorder="1" applyAlignment="1"/>
    <xf numFmtId="0" fontId="19" fillId="0" borderId="0" xfId="0" applyFont="1" applyAlignment="1">
      <alignment horizontal="center"/>
    </xf>
    <xf numFmtId="0" fontId="11" fillId="0" borderId="0" xfId="8" applyFont="1"/>
    <xf numFmtId="0" fontId="6" fillId="0" borderId="2" xfId="1" applyFont="1" applyBorder="1" applyAlignment="1">
      <alignment horizontal="center"/>
    </xf>
    <xf numFmtId="0" fontId="21" fillId="0" borderId="0" xfId="0" applyFont="1" applyAlignment="1">
      <alignment horizontal="center" vertical="top" wrapText="1"/>
    </xf>
    <xf numFmtId="0" fontId="11" fillId="0" borderId="0" xfId="9"/>
    <xf numFmtId="0" fontId="10" fillId="0" borderId="0" xfId="9" applyFont="1" applyAlignment="1"/>
    <xf numFmtId="0" fontId="16" fillId="0" borderId="0" xfId="9" applyFont="1" applyAlignment="1"/>
    <xf numFmtId="0" fontId="8" fillId="0" borderId="0" xfId="9" applyFont="1"/>
    <xf numFmtId="0" fontId="21" fillId="0" borderId="2" xfId="9" applyFont="1" applyBorder="1" applyAlignment="1">
      <alignment horizontal="center" vertical="top" wrapText="1"/>
    </xf>
    <xf numFmtId="0" fontId="21" fillId="0" borderId="0" xfId="9" applyFont="1"/>
    <xf numFmtId="0" fontId="21" fillId="0" borderId="2" xfId="9" applyFont="1" applyBorder="1"/>
    <xf numFmtId="0" fontId="21" fillId="0" borderId="0" xfId="9" applyFont="1" applyBorder="1"/>
    <xf numFmtId="0" fontId="21" fillId="0" borderId="5" xfId="9" applyFont="1" applyBorder="1" applyAlignment="1">
      <alignment horizontal="center" vertical="top" wrapText="1"/>
    </xf>
    <xf numFmtId="0" fontId="21" fillId="0" borderId="9" xfId="9" applyFont="1" applyBorder="1" applyAlignment="1">
      <alignment horizontal="center" vertical="top" wrapText="1"/>
    </xf>
    <xf numFmtId="0" fontId="21" fillId="0" borderId="6" xfId="9" applyFont="1" applyBorder="1" applyAlignment="1">
      <alignment horizontal="center" vertical="top" wrapText="1"/>
    </xf>
    <xf numFmtId="0" fontId="6" fillId="0" borderId="0" xfId="9" applyFont="1"/>
    <xf numFmtId="0" fontId="21" fillId="0" borderId="2" xfId="9" applyFont="1" applyBorder="1" applyAlignment="1">
      <alignment horizontal="center"/>
    </xf>
    <xf numFmtId="0" fontId="6" fillId="0" borderId="2" xfId="9" applyFont="1" applyBorder="1"/>
    <xf numFmtId="0" fontId="6" fillId="0" borderId="2" xfId="9" applyFont="1" applyBorder="1" applyAlignment="1">
      <alignment horizontal="center"/>
    </xf>
    <xf numFmtId="0" fontId="6" fillId="0" borderId="2" xfId="9" applyFont="1" applyBorder="1" applyAlignment="1">
      <alignment horizontal="left"/>
    </xf>
    <xf numFmtId="0" fontId="6" fillId="0" borderId="2" xfId="9" applyFont="1" applyBorder="1" applyAlignment="1">
      <alignment horizontal="left" wrapText="1"/>
    </xf>
    <xf numFmtId="0" fontId="11" fillId="0" borderId="0" xfId="9" applyFill="1" applyBorder="1" applyAlignment="1">
      <alignment horizontal="left"/>
    </xf>
    <xf numFmtId="0" fontId="11" fillId="0" borderId="0" xfId="10"/>
    <xf numFmtId="0" fontId="7" fillId="0" borderId="0" xfId="10" applyFont="1" applyAlignment="1">
      <alignment horizontal="right"/>
    </xf>
    <xf numFmtId="0" fontId="8" fillId="0" borderId="0" xfId="10" applyFont="1" applyAlignment="1">
      <alignment horizontal="right"/>
    </xf>
    <xf numFmtId="0" fontId="19" fillId="0" borderId="2" xfId="10" applyFont="1" applyBorder="1" applyAlignment="1">
      <alignment horizontal="center" vertical="top" wrapText="1"/>
    </xf>
    <xf numFmtId="0" fontId="19" fillId="0" borderId="2" xfId="10" applyFont="1" applyBorder="1" applyAlignment="1">
      <alignment horizontal="center" vertical="center" wrapText="1"/>
    </xf>
    <xf numFmtId="0" fontId="6" fillId="0" borderId="2" xfId="10" applyFont="1" applyBorder="1" applyAlignment="1">
      <alignment horizontal="center" vertical="center"/>
    </xf>
    <xf numFmtId="0" fontId="17" fillId="0" borderId="2" xfId="10" applyFont="1" applyBorder="1" applyAlignment="1">
      <alignment horizontal="left" vertical="top" wrapText="1"/>
    </xf>
    <xf numFmtId="0" fontId="17" fillId="0" borderId="2" xfId="10" applyFont="1" applyBorder="1" applyAlignment="1">
      <alignment horizontal="center" vertical="top" wrapText="1"/>
    </xf>
    <xf numFmtId="0" fontId="17" fillId="0" borderId="0" xfId="10" applyFont="1" applyAlignment="1">
      <alignment horizontal="left"/>
    </xf>
    <xf numFmtId="0" fontId="76" fillId="0" borderId="0" xfId="0" applyFont="1" applyAlignment="1">
      <alignment horizontal="center"/>
    </xf>
    <xf numFmtId="0" fontId="36" fillId="0" borderId="0" xfId="0" applyFont="1" applyAlignment="1">
      <alignment horizontal="center"/>
    </xf>
    <xf numFmtId="0" fontId="37" fillId="0" borderId="0" xfId="0" applyFont="1"/>
    <xf numFmtId="0" fontId="38" fillId="0" borderId="0" xfId="0" applyFont="1" applyBorder="1" applyAlignment="1"/>
    <xf numFmtId="0" fontId="38" fillId="0" borderId="1" xfId="0" applyFont="1" applyBorder="1" applyAlignment="1">
      <alignment vertical="top" wrapText="1"/>
    </xf>
    <xf numFmtId="0" fontId="39" fillId="0" borderId="2" xfId="0" quotePrefix="1" applyFont="1" applyBorder="1" applyAlignment="1">
      <alignment horizontal="center" vertical="top" wrapText="1"/>
    </xf>
    <xf numFmtId="0" fontId="77" fillId="0" borderId="0" xfId="0" applyFont="1"/>
    <xf numFmtId="0" fontId="6" fillId="0" borderId="0" xfId="1" applyFont="1"/>
    <xf numFmtId="0" fontId="6" fillId="0" borderId="0" xfId="1" applyFont="1" applyAlignment="1">
      <alignment horizontal="center"/>
    </xf>
    <xf numFmtId="0" fontId="21" fillId="0" borderId="0" xfId="1" applyFont="1" applyAlignment="1">
      <alignment horizontal="left"/>
    </xf>
    <xf numFmtId="0" fontId="10" fillId="0" borderId="0" xfId="1" applyFont="1"/>
    <xf numFmtId="0" fontId="6" fillId="0" borderId="0" xfId="1" applyFont="1" applyAlignment="1"/>
    <xf numFmtId="0" fontId="6" fillId="0" borderId="7" xfId="1" applyFont="1" applyBorder="1" applyAlignment="1"/>
    <xf numFmtId="0" fontId="6" fillId="0" borderId="0" xfId="1" applyFont="1" applyBorder="1" applyAlignment="1"/>
    <xf numFmtId="0" fontId="6" fillId="0" borderId="0" xfId="1" applyFont="1" applyBorder="1"/>
    <xf numFmtId="0" fontId="6" fillId="0" borderId="0" xfId="1" applyFont="1" applyBorder="1" applyAlignment="1">
      <alignment horizontal="center" vertical="top" wrapText="1"/>
    </xf>
    <xf numFmtId="0" fontId="19" fillId="0" borderId="0" xfId="1" applyFont="1" applyBorder="1" applyAlignment="1">
      <alignment horizontal="left"/>
    </xf>
    <xf numFmtId="0" fontId="6" fillId="0" borderId="2" xfId="1" applyFont="1" applyBorder="1" applyAlignment="1"/>
    <xf numFmtId="0" fontId="17" fillId="0" borderId="0" xfId="1" applyFont="1" applyBorder="1" applyAlignment="1"/>
    <xf numFmtId="0" fontId="6" fillId="0" borderId="2" xfId="1" applyFont="1" applyBorder="1" applyAlignment="1">
      <alignment vertical="top" wrapText="1"/>
    </xf>
    <xf numFmtId="0" fontId="6" fillId="0" borderId="0" xfId="1" applyFont="1" applyAlignment="1">
      <alignment vertical="top" wrapText="1"/>
    </xf>
    <xf numFmtId="0" fontId="21" fillId="0" borderId="0" xfId="1" applyFont="1"/>
    <xf numFmtId="0" fontId="21" fillId="3" borderId="3" xfId="1" quotePrefix="1" applyFont="1" applyFill="1" applyBorder="1" applyAlignment="1">
      <alignment horizontal="center" vertical="center" wrapText="1"/>
    </xf>
    <xf numFmtId="0" fontId="6" fillId="0" borderId="0" xfId="1" applyFont="1" applyBorder="1" applyAlignment="1">
      <alignment horizontal="left" vertical="center"/>
    </xf>
    <xf numFmtId="0" fontId="6" fillId="0" borderId="2" xfId="1" applyFont="1" applyBorder="1" applyAlignment="1">
      <alignment horizontal="center" vertical="center"/>
    </xf>
    <xf numFmtId="0" fontId="6" fillId="0" borderId="2" xfId="1" applyFont="1" applyBorder="1" applyAlignment="1">
      <alignment horizontal="left" vertical="center"/>
    </xf>
    <xf numFmtId="0" fontId="6" fillId="0" borderId="0" xfId="1" applyFont="1" applyAlignment="1">
      <alignment horizontal="left" vertical="center"/>
    </xf>
    <xf numFmtId="0" fontId="6" fillId="0" borderId="2" xfId="1" applyFont="1" applyBorder="1" applyAlignment="1">
      <alignment horizontal="left"/>
    </xf>
    <xf numFmtId="0" fontId="35" fillId="0" borderId="0" xfId="0" applyFont="1" applyAlignment="1"/>
    <xf numFmtId="0" fontId="36" fillId="0" borderId="0" xfId="0" applyFont="1" applyAlignment="1"/>
    <xf numFmtId="0" fontId="39" fillId="0" borderId="0" xfId="0" applyFont="1" applyBorder="1" applyAlignment="1"/>
    <xf numFmtId="0" fontId="38" fillId="0" borderId="2" xfId="0" applyFont="1" applyBorder="1" applyAlignment="1">
      <alignment horizontal="center" vertical="top" wrapText="1"/>
    </xf>
    <xf numFmtId="0" fontId="78" fillId="0" borderId="0" xfId="0" applyFont="1" applyBorder="1" applyAlignment="1">
      <alignment vertical="top"/>
    </xf>
    <xf numFmtId="0" fontId="79" fillId="0" borderId="2" xfId="0" applyFont="1" applyBorder="1" applyAlignment="1">
      <alignment vertical="top" wrapText="1"/>
    </xf>
    <xf numFmtId="0" fontId="76" fillId="0" borderId="2" xfId="0" applyFont="1" applyBorder="1" applyAlignment="1">
      <alignment horizontal="center"/>
    </xf>
    <xf numFmtId="0" fontId="80" fillId="0" borderId="2" xfId="0" applyFont="1" applyBorder="1" applyAlignment="1">
      <alignment horizontal="center" vertical="center" wrapText="1"/>
    </xf>
    <xf numFmtId="0" fontId="0" fillId="0" borderId="0" xfId="0" applyBorder="1" applyAlignment="1">
      <alignment horizontal="center"/>
    </xf>
    <xf numFmtId="0" fontId="81" fillId="0" borderId="0" xfId="0" applyFont="1" applyAlignment="1">
      <alignment horizontal="center"/>
    </xf>
    <xf numFmtId="0" fontId="35" fillId="0" borderId="0" xfId="0" applyFont="1" applyAlignment="1">
      <alignment horizontal="right"/>
    </xf>
    <xf numFmtId="0" fontId="6" fillId="0" borderId="5" xfId="0" applyFont="1" applyBorder="1" applyAlignment="1">
      <alignment vertical="top" wrapText="1"/>
    </xf>
    <xf numFmtId="0" fontId="11" fillId="4" borderId="0" xfId="0" applyFont="1" applyFill="1"/>
    <xf numFmtId="0" fontId="16" fillId="4" borderId="0" xfId="0" applyFont="1" applyFill="1"/>
    <xf numFmtId="0" fontId="6" fillId="4" borderId="0" xfId="0" applyFont="1" applyFill="1"/>
    <xf numFmtId="0" fontId="6" fillId="0" borderId="0" xfId="0" applyFont="1" applyBorder="1" applyAlignment="1">
      <alignment horizontal="left"/>
    </xf>
    <xf numFmtId="0" fontId="19" fillId="0" borderId="0" xfId="0" applyFont="1" applyBorder="1" applyAlignment="1">
      <alignment horizontal="left"/>
    </xf>
    <xf numFmtId="0" fontId="17" fillId="0" borderId="0" xfId="0" applyFont="1" applyBorder="1" applyAlignment="1">
      <alignment horizontal="center"/>
    </xf>
    <xf numFmtId="49" fontId="6" fillId="0" borderId="0" xfId="0" applyNumberFormat="1" applyFont="1" applyBorder="1" applyAlignment="1">
      <alignment horizontal="left" vertical="top"/>
    </xf>
    <xf numFmtId="0" fontId="19" fillId="0" borderId="0" xfId="0" applyFont="1" applyBorder="1" applyAlignment="1">
      <alignment horizontal="center"/>
    </xf>
    <xf numFmtId="0" fontId="11" fillId="3" borderId="0" xfId="0" applyFont="1" applyFill="1"/>
    <xf numFmtId="0" fontId="11" fillId="3" borderId="2" xfId="0" applyFont="1" applyFill="1" applyBorder="1" applyAlignment="1">
      <alignment horizontal="center"/>
    </xf>
    <xf numFmtId="0" fontId="11" fillId="3" borderId="2" xfId="0" applyFont="1" applyFill="1" applyBorder="1"/>
    <xf numFmtId="0" fontId="11" fillId="3" borderId="2" xfId="0" quotePrefix="1" applyFont="1" applyFill="1" applyBorder="1" applyAlignment="1">
      <alignment horizontal="center"/>
    </xf>
    <xf numFmtId="0" fontId="11" fillId="3" borderId="0" xfId="0" applyFont="1" applyFill="1" applyBorder="1"/>
    <xf numFmtId="0" fontId="6" fillId="3" borderId="0" xfId="0" applyFont="1" applyFill="1" applyBorder="1" applyAlignment="1">
      <alignment horizontal="left"/>
    </xf>
    <xf numFmtId="0" fontId="6" fillId="3" borderId="0" xfId="0" applyFont="1" applyFill="1" applyBorder="1"/>
    <xf numFmtId="0" fontId="6" fillId="3" borderId="0" xfId="0" applyFont="1" applyFill="1"/>
    <xf numFmtId="0" fontId="6" fillId="0" borderId="0" xfId="8" applyFont="1" applyAlignment="1"/>
    <xf numFmtId="0" fontId="14" fillId="0" borderId="2" xfId="0" applyFont="1" applyBorder="1" applyAlignment="1">
      <alignment horizontal="center"/>
    </xf>
    <xf numFmtId="0" fontId="75" fillId="0" borderId="2" xfId="1" applyFont="1" applyBorder="1"/>
    <xf numFmtId="0" fontId="75" fillId="0" borderId="0" xfId="1" applyFont="1" applyBorder="1"/>
    <xf numFmtId="0" fontId="38" fillId="3" borderId="2" xfId="0" applyFont="1" applyFill="1" applyBorder="1" applyAlignment="1">
      <alignment horizontal="center" vertical="top" wrapText="1"/>
    </xf>
    <xf numFmtId="0" fontId="0" fillId="3" borderId="0" xfId="0" applyFill="1"/>
    <xf numFmtId="0" fontId="37" fillId="0" borderId="2" xfId="0" quotePrefix="1" applyFont="1" applyBorder="1" applyAlignment="1">
      <alignment horizontal="center" vertical="top" wrapText="1"/>
    </xf>
    <xf numFmtId="0" fontId="39" fillId="0" borderId="3" xfId="0" applyFont="1" applyBorder="1" applyAlignment="1">
      <alignment horizontal="center" vertical="top" wrapText="1"/>
    </xf>
    <xf numFmtId="0" fontId="14" fillId="3" borderId="0" xfId="0" applyFont="1" applyFill="1" applyAlignment="1">
      <alignment horizontal="right"/>
    </xf>
    <xf numFmtId="0" fontId="6" fillId="3" borderId="2" xfId="1" applyFont="1" applyFill="1" applyBorder="1" applyAlignment="1">
      <alignment horizontal="center" vertical="center"/>
    </xf>
    <xf numFmtId="0" fontId="42" fillId="0" borderId="0" xfId="0" applyFont="1" applyAlignment="1"/>
    <xf numFmtId="0" fontId="19" fillId="0" borderId="0" xfId="0" applyFont="1" applyAlignment="1"/>
    <xf numFmtId="0" fontId="82" fillId="0" borderId="2" xfId="0" applyFont="1" applyBorder="1"/>
    <xf numFmtId="0" fontId="35" fillId="0" borderId="0" xfId="0" applyFont="1" applyAlignment="1">
      <alignment horizontal="center"/>
    </xf>
    <xf numFmtId="0" fontId="11" fillId="3" borderId="5" xfId="0" applyFont="1" applyFill="1" applyBorder="1" applyAlignment="1"/>
    <xf numFmtId="0" fontId="38" fillId="3" borderId="1" xfId="0" applyFont="1" applyFill="1" applyBorder="1" applyAlignment="1">
      <alignment horizontal="center" vertical="top" wrapText="1"/>
    </xf>
    <xf numFmtId="0" fontId="6" fillId="0" borderId="0" xfId="2" applyFont="1"/>
    <xf numFmtId="0" fontId="6" fillId="0" borderId="0" xfId="2" applyFont="1" applyAlignment="1">
      <alignment horizontal="center" vertical="top" wrapText="1"/>
    </xf>
    <xf numFmtId="0" fontId="18" fillId="0" borderId="0" xfId="8" applyFont="1" applyAlignment="1">
      <alignment horizontal="left"/>
    </xf>
    <xf numFmtId="0" fontId="6" fillId="0" borderId="0" xfId="8" applyFont="1" applyAlignment="1">
      <alignment horizontal="center"/>
    </xf>
    <xf numFmtId="0" fontId="6" fillId="0" borderId="0" xfId="8" applyFont="1" applyAlignment="1">
      <alignment horizontal="left"/>
    </xf>
    <xf numFmtId="0" fontId="11" fillId="0" borderId="2" xfId="8" applyFont="1" applyBorder="1"/>
    <xf numFmtId="0" fontId="11" fillId="0" borderId="0" xfId="8" applyFont="1" applyBorder="1"/>
    <xf numFmtId="0" fontId="6" fillId="0" borderId="2" xfId="8" applyFont="1" applyBorder="1"/>
    <xf numFmtId="0" fontId="82" fillId="0" borderId="2" xfId="0" applyFont="1" applyFill="1" applyBorder="1"/>
    <xf numFmtId="0" fontId="38" fillId="0" borderId="2" xfId="0" applyFont="1" applyBorder="1" applyAlignment="1">
      <alignment vertical="center" wrapText="1"/>
    </xf>
    <xf numFmtId="0" fontId="38" fillId="3" borderId="2" xfId="0" applyFont="1" applyFill="1" applyBorder="1" applyAlignment="1">
      <alignment vertical="center" wrapText="1"/>
    </xf>
    <xf numFmtId="0" fontId="38" fillId="3" borderId="2" xfId="0" applyFont="1" applyFill="1" applyBorder="1" applyAlignment="1">
      <alignment horizontal="center" vertical="center" wrapText="1"/>
    </xf>
    <xf numFmtId="0" fontId="83" fillId="0" borderId="2" xfId="0" applyFont="1" applyBorder="1"/>
    <xf numFmtId="0" fontId="83" fillId="0" borderId="2" xfId="0" applyFont="1" applyBorder="1" applyAlignment="1">
      <alignment horizontal="center"/>
    </xf>
    <xf numFmtId="1" fontId="0" fillId="0" borderId="2" xfId="0" applyNumberFormat="1" applyBorder="1" applyAlignment="1">
      <alignment horizontal="center"/>
    </xf>
    <xf numFmtId="0" fontId="84" fillId="0" borderId="2" xfId="0" applyFont="1" applyBorder="1" applyAlignment="1">
      <alignment horizontal="center"/>
    </xf>
    <xf numFmtId="0" fontId="0" fillId="0" borderId="1" xfId="0" applyBorder="1"/>
    <xf numFmtId="0" fontId="0" fillId="0" borderId="12" xfId="0" applyBorder="1"/>
    <xf numFmtId="1" fontId="83" fillId="0" borderId="2" xfId="0" applyNumberFormat="1" applyFont="1" applyBorder="1" applyAlignment="1">
      <alignment horizontal="center"/>
    </xf>
    <xf numFmtId="1" fontId="84" fillId="0" borderId="2" xfId="0" applyNumberFormat="1" applyFont="1" applyBorder="1" applyAlignment="1">
      <alignment horizontal="center"/>
    </xf>
    <xf numFmtId="0" fontId="11" fillId="0" borderId="5" xfId="0" applyFont="1" applyBorder="1" applyAlignment="1">
      <alignment horizontal="center"/>
    </xf>
    <xf numFmtId="0" fontId="10" fillId="0" borderId="2" xfId="0" applyFont="1" applyBorder="1" applyAlignment="1">
      <alignment horizontal="center"/>
    </xf>
    <xf numFmtId="0" fontId="79" fillId="0" borderId="2" xfId="0" applyFont="1" applyBorder="1" applyAlignment="1">
      <alignment horizontal="center" vertical="top" wrapText="1"/>
    </xf>
    <xf numFmtId="0" fontId="79" fillId="0" borderId="3" xfId="0" applyFont="1" applyBorder="1" applyAlignment="1">
      <alignment horizontal="center" vertical="top" wrapText="1"/>
    </xf>
    <xf numFmtId="0" fontId="6" fillId="0" borderId="0" xfId="2" applyFont="1" applyAlignment="1"/>
    <xf numFmtId="0" fontId="6" fillId="3" borderId="2" xfId="0" applyFont="1" applyFill="1" applyBorder="1" applyAlignment="1">
      <alignment horizontal="center" vertical="top" wrapText="1"/>
    </xf>
    <xf numFmtId="0" fontId="6" fillId="3" borderId="2" xfId="1" quotePrefix="1" applyFont="1" applyFill="1" applyBorder="1" applyAlignment="1">
      <alignment horizontal="center" vertical="center" wrapText="1"/>
    </xf>
    <xf numFmtId="0" fontId="6" fillId="3" borderId="0" xfId="0" applyFont="1" applyFill="1" applyBorder="1" applyAlignment="1">
      <alignment horizontal="right"/>
    </xf>
    <xf numFmtId="0" fontId="6" fillId="3" borderId="5" xfId="0" applyFont="1" applyFill="1" applyBorder="1" applyAlignment="1">
      <alignment horizontal="center" vertical="top" wrapText="1"/>
    </xf>
    <xf numFmtId="0" fontId="85" fillId="0" borderId="2" xfId="0" applyFont="1" applyBorder="1" applyAlignment="1">
      <alignment vertical="center"/>
    </xf>
    <xf numFmtId="0" fontId="85" fillId="0" borderId="2" xfId="0" applyFont="1" applyBorder="1" applyAlignment="1">
      <alignment horizontal="left" vertical="center"/>
    </xf>
    <xf numFmtId="0" fontId="85" fillId="0" borderId="2" xfId="0" applyFont="1" applyBorder="1" applyAlignment="1">
      <alignment horizontal="center" vertical="center"/>
    </xf>
    <xf numFmtId="0" fontId="85" fillId="0" borderId="2" xfId="0" applyFont="1" applyBorder="1" applyAlignment="1">
      <alignment horizontal="center" vertical="center" wrapText="1"/>
    </xf>
    <xf numFmtId="0" fontId="6" fillId="0" borderId="0" xfId="0" applyFont="1" applyAlignment="1">
      <alignment horizontal="center" vertical="center"/>
    </xf>
    <xf numFmtId="0" fontId="8" fillId="0" borderId="0" xfId="0" applyFont="1"/>
    <xf numFmtId="0" fontId="6" fillId="3" borderId="2"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0" xfId="0" applyFont="1" applyFill="1" applyBorder="1" applyAlignment="1">
      <alignment horizontal="right"/>
    </xf>
    <xf numFmtId="0" fontId="6" fillId="0" borderId="0" xfId="2" applyFont="1" applyAlignment="1">
      <alignment horizontal="left"/>
    </xf>
    <xf numFmtId="0" fontId="21" fillId="0" borderId="0" xfId="2" applyFont="1" applyAlignment="1">
      <alignment horizontal="left"/>
    </xf>
    <xf numFmtId="0" fontId="10" fillId="0" borderId="0" xfId="2" applyFont="1"/>
    <xf numFmtId="0" fontId="6" fillId="0" borderId="7" xfId="2" applyFont="1" applyBorder="1" applyAlignment="1">
      <alignment horizontal="left"/>
    </xf>
    <xf numFmtId="0" fontId="6" fillId="0" borderId="0" xfId="2" applyFont="1" applyBorder="1" applyAlignment="1"/>
    <xf numFmtId="0" fontId="6" fillId="0" borderId="0" xfId="2" applyFont="1" applyAlignment="1">
      <alignment vertical="center"/>
    </xf>
    <xf numFmtId="0" fontId="6" fillId="0" borderId="0" xfId="2" applyFont="1" applyAlignment="1">
      <alignment horizontal="left" vertical="center"/>
    </xf>
    <xf numFmtId="0" fontId="6" fillId="0" borderId="0" xfId="2" applyFont="1" applyBorder="1" applyAlignment="1">
      <alignment vertical="center"/>
    </xf>
    <xf numFmtId="0" fontId="38" fillId="0" borderId="2" xfId="0" applyFont="1" applyBorder="1" applyAlignment="1">
      <alignment horizontal="center" vertical="center" wrapText="1"/>
    </xf>
    <xf numFmtId="0" fontId="6" fillId="0" borderId="0" xfId="2" applyFont="1" applyBorder="1"/>
    <xf numFmtId="0" fontId="86" fillId="5" borderId="2" xfId="0" applyFont="1" applyFill="1" applyBorder="1" applyAlignment="1">
      <alignment horizontal="left" vertical="center" wrapText="1"/>
    </xf>
    <xf numFmtId="0" fontId="48" fillId="0" borderId="2" xfId="0" applyFont="1" applyBorder="1" applyAlignment="1">
      <alignment horizontal="center" wrapText="1"/>
    </xf>
    <xf numFmtId="0" fontId="6" fillId="0" borderId="2" xfId="2" applyFont="1" applyBorder="1" applyAlignment="1">
      <alignment horizontal="center"/>
    </xf>
    <xf numFmtId="0" fontId="6" fillId="0" borderId="0" xfId="2" applyFont="1" applyBorder="1" applyAlignment="1">
      <alignment horizontal="center"/>
    </xf>
    <xf numFmtId="0" fontId="49" fillId="0" borderId="2" xfId="2" applyFont="1" applyBorder="1" applyAlignment="1">
      <alignment horizontal="center"/>
    </xf>
    <xf numFmtId="0" fontId="87" fillId="3" borderId="2" xfId="0" applyFont="1" applyFill="1" applyBorder="1" applyAlignment="1">
      <alignment horizontal="left" wrapText="1"/>
    </xf>
    <xf numFmtId="0" fontId="87" fillId="3" borderId="2" xfId="0" applyFont="1" applyFill="1" applyBorder="1" applyAlignment="1">
      <alignment horizontal="center" wrapText="1"/>
    </xf>
    <xf numFmtId="0" fontId="11" fillId="0" borderId="0" xfId="2" applyFont="1"/>
    <xf numFmtId="0" fontId="50" fillId="0" borderId="2" xfId="2" applyFont="1" applyBorder="1" applyAlignment="1">
      <alignment horizontal="center"/>
    </xf>
    <xf numFmtId="0" fontId="88" fillId="3" borderId="2" xfId="0" applyFont="1" applyFill="1" applyBorder="1" applyAlignment="1">
      <alignment horizontal="center" wrapText="1"/>
    </xf>
    <xf numFmtId="0" fontId="6" fillId="0" borderId="0" xfId="2" applyFont="1" applyBorder="1" applyAlignment="1">
      <alignment horizontal="left"/>
    </xf>
    <xf numFmtId="0" fontId="21" fillId="0" borderId="0" xfId="8" applyFont="1" applyBorder="1" applyAlignment="1">
      <alignment horizontal="right"/>
    </xf>
    <xf numFmtId="0" fontId="9" fillId="0" borderId="0" xfId="8" applyFont="1" applyBorder="1" applyAlignment="1">
      <alignment horizontal="center"/>
    </xf>
    <xf numFmtId="0" fontId="11" fillId="0" borderId="3" xfId="8" applyBorder="1"/>
    <xf numFmtId="0" fontId="6" fillId="0" borderId="2" xfId="8" applyFont="1" applyBorder="1" applyAlignment="1">
      <alignment horizontal="center" vertical="center" wrapText="1"/>
    </xf>
    <xf numFmtId="0" fontId="11" fillId="0" borderId="0" xfId="8" applyAlignment="1">
      <alignment vertical="center"/>
    </xf>
    <xf numFmtId="0" fontId="6" fillId="0" borderId="5" xfId="8" applyFont="1" applyBorder="1" applyAlignment="1">
      <alignment horizontal="center" vertical="center" wrapText="1"/>
    </xf>
    <xf numFmtId="0" fontId="6" fillId="0" borderId="0" xfId="8" applyFont="1" applyBorder="1" applyAlignment="1">
      <alignment vertical="center"/>
    </xf>
    <xf numFmtId="0" fontId="11" fillId="0" borderId="2" xfId="8" applyFont="1" applyBorder="1" applyAlignment="1">
      <alignment horizontal="center" vertical="center" wrapText="1"/>
    </xf>
    <xf numFmtId="0" fontId="11" fillId="0" borderId="5" xfId="8" applyFont="1" applyBorder="1" applyAlignment="1">
      <alignment horizontal="center" vertical="center" wrapText="1"/>
    </xf>
    <xf numFmtId="0" fontId="11" fillId="0" borderId="0" xfId="8" applyFont="1" applyAlignment="1">
      <alignment vertical="center"/>
    </xf>
    <xf numFmtId="1" fontId="11" fillId="0" borderId="0" xfId="8" applyNumberFormat="1"/>
    <xf numFmtId="1" fontId="11" fillId="0" borderId="2" xfId="0" applyNumberFormat="1" applyFont="1" applyBorder="1" applyAlignment="1">
      <alignment horizontal="center" wrapText="1"/>
    </xf>
    <xf numFmtId="1" fontId="11" fillId="0" borderId="5" xfId="0" applyNumberFormat="1" applyFont="1" applyBorder="1" applyAlignment="1">
      <alignment horizontal="center" wrapText="1"/>
    </xf>
    <xf numFmtId="1" fontId="6" fillId="0" borderId="2" xfId="8" applyNumberFormat="1" applyFont="1" applyBorder="1" applyAlignment="1">
      <alignment horizontal="center"/>
    </xf>
    <xf numFmtId="1" fontId="6" fillId="0" borderId="5" xfId="8" applyNumberFormat="1" applyFont="1" applyBorder="1" applyAlignment="1">
      <alignment horizontal="center"/>
    </xf>
    <xf numFmtId="0" fontId="11" fillId="0" borderId="4" xfId="0" applyFont="1" applyBorder="1" applyAlignment="1">
      <alignment vertical="center"/>
    </xf>
    <xf numFmtId="0" fontId="17" fillId="0" borderId="2" xfId="0" applyFont="1" applyBorder="1" applyAlignment="1">
      <alignment horizontal="center" vertical="center"/>
    </xf>
    <xf numFmtId="0" fontId="19" fillId="0" borderId="2" xfId="8"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1" fontId="17" fillId="0" borderId="2" xfId="0" applyNumberFormat="1" applyFont="1" applyBorder="1" applyAlignment="1">
      <alignment horizontal="center" vertical="center" wrapText="1"/>
    </xf>
    <xf numFmtId="1" fontId="19" fillId="0" borderId="2" xfId="8" applyNumberFormat="1" applyFont="1" applyBorder="1" applyAlignment="1">
      <alignment horizontal="center" vertical="center"/>
    </xf>
    <xf numFmtId="0" fontId="19" fillId="0" borderId="2" xfId="0" applyFont="1" applyBorder="1" applyAlignment="1">
      <alignment horizontal="center" vertical="center"/>
    </xf>
    <xf numFmtId="1" fontId="19"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1" fontId="19" fillId="0" borderId="2" xfId="0" applyNumberFormat="1" applyFont="1" applyBorder="1" applyAlignment="1">
      <alignment horizontal="center" vertical="center" wrapText="1"/>
    </xf>
    <xf numFmtId="0" fontId="19" fillId="0" borderId="4" xfId="0" applyFont="1" applyBorder="1" applyAlignment="1">
      <alignment horizontal="center" vertical="center"/>
    </xf>
    <xf numFmtId="0" fontId="17" fillId="0" borderId="0" xfId="8" applyFont="1" applyAlignment="1">
      <alignment horizontal="center" vertical="center"/>
    </xf>
    <xf numFmtId="0" fontId="17" fillId="0" borderId="0" xfId="8" applyFont="1" applyAlignment="1">
      <alignment horizontal="left" vertical="center"/>
    </xf>
    <xf numFmtId="1" fontId="17" fillId="0" borderId="0" xfId="8" applyNumberFormat="1" applyFont="1" applyAlignment="1">
      <alignment horizontal="center" vertical="center"/>
    </xf>
    <xf numFmtId="0" fontId="7" fillId="0" borderId="0" xfId="8" applyFont="1" applyAlignment="1">
      <alignment horizontal="center" vertical="center"/>
    </xf>
    <xf numFmtId="0" fontId="11" fillId="0" borderId="0" xfId="8"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19" fillId="0" borderId="2" xfId="8" applyFont="1"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1" fontId="19" fillId="0" borderId="3" xfId="0" applyNumberFormat="1" applyFont="1" applyBorder="1" applyAlignment="1">
      <alignment horizontal="center" vertical="center" wrapText="1"/>
    </xf>
    <xf numFmtId="1" fontId="19" fillId="0" borderId="2" xfId="8" applyNumberFormat="1" applyFont="1" applyBorder="1" applyAlignment="1">
      <alignment horizontal="center" vertical="center" wrapText="1"/>
    </xf>
    <xf numFmtId="0" fontId="17" fillId="0" borderId="2" xfId="0" applyFont="1" applyBorder="1" applyAlignment="1">
      <alignment horizontal="left" vertical="center"/>
    </xf>
    <xf numFmtId="0" fontId="17" fillId="0" borderId="2" xfId="8" applyFont="1" applyBorder="1" applyAlignment="1">
      <alignment horizontal="center" vertical="center" wrapText="1"/>
    </xf>
    <xf numFmtId="0" fontId="17" fillId="0" borderId="2" xfId="8" applyFont="1" applyBorder="1" applyAlignment="1">
      <alignment horizontal="center" vertical="center"/>
    </xf>
    <xf numFmtId="1" fontId="17" fillId="0" borderId="2" xfId="8" applyNumberFormat="1" applyFont="1" applyBorder="1" applyAlignment="1">
      <alignment horizontal="center" vertical="center"/>
    </xf>
    <xf numFmtId="0" fontId="10" fillId="0" borderId="0" xfId="8" applyFont="1" applyAlignment="1">
      <alignment horizontal="center" vertical="center" wrapText="1"/>
    </xf>
    <xf numFmtId="0" fontId="17" fillId="0" borderId="0" xfId="8" applyFont="1" applyFill="1" applyBorder="1" applyAlignment="1">
      <alignment horizontal="center" vertical="center"/>
    </xf>
    <xf numFmtId="0" fontId="17" fillId="0" borderId="0" xfId="8" applyFont="1" applyFill="1" applyBorder="1" applyAlignment="1">
      <alignment horizontal="left" vertical="center"/>
    </xf>
    <xf numFmtId="0" fontId="11" fillId="0" borderId="0" xfId="8" applyAlignment="1">
      <alignment horizontal="left" vertical="center"/>
    </xf>
    <xf numFmtId="1" fontId="11" fillId="0" borderId="0" xfId="8" applyNumberFormat="1"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0" fontId="46" fillId="0" borderId="0" xfId="0" applyFont="1" applyAlignment="1"/>
    <xf numFmtId="0" fontId="17" fillId="0" borderId="0" xfId="0" applyFont="1" applyAlignment="1">
      <alignment horizontal="center"/>
    </xf>
    <xf numFmtId="0" fontId="52" fillId="0" borderId="0" xfId="0" applyFont="1" applyBorder="1" applyAlignment="1"/>
    <xf numFmtId="0" fontId="74" fillId="0" borderId="0" xfId="0" applyFont="1" applyBorder="1" applyAlignment="1">
      <alignment horizontal="center" vertical="center"/>
    </xf>
    <xf numFmtId="0" fontId="74" fillId="0" borderId="2" xfId="0" applyFont="1" applyBorder="1" applyAlignment="1">
      <alignment vertical="top" wrapText="1"/>
    </xf>
    <xf numFmtId="0" fontId="74" fillId="0" borderId="2" xfId="0" applyFont="1" applyBorder="1" applyAlignment="1">
      <alignment horizontal="center" vertical="top" wrapText="1"/>
    </xf>
    <xf numFmtId="0" fontId="74" fillId="0" borderId="0" xfId="0" applyFont="1"/>
    <xf numFmtId="0" fontId="74" fillId="0" borderId="2" xfId="0" applyFont="1" applyBorder="1" applyAlignment="1">
      <alignment vertical="center" wrapText="1"/>
    </xf>
    <xf numFmtId="0" fontId="74" fillId="0" borderId="2" xfId="2" applyFont="1" applyBorder="1" applyAlignment="1">
      <alignment horizontal="center" vertical="center" wrapText="1"/>
    </xf>
    <xf numFmtId="0" fontId="74" fillId="0" borderId="2" xfId="0" applyFont="1" applyBorder="1" applyAlignment="1">
      <alignment horizontal="left" vertical="center" wrapText="1" indent="2"/>
    </xf>
    <xf numFmtId="0" fontId="74" fillId="0" borderId="0" xfId="0" applyFont="1" applyBorder="1" applyAlignment="1">
      <alignment horizontal="left" vertical="center" wrapText="1" indent="2"/>
    </xf>
    <xf numFmtId="0" fontId="74" fillId="0" borderId="0" xfId="0" applyFont="1" applyBorder="1" applyAlignment="1">
      <alignment vertical="center" wrapText="1"/>
    </xf>
    <xf numFmtId="0" fontId="89" fillId="0" borderId="2" xfId="2" applyFont="1" applyBorder="1" applyAlignment="1">
      <alignment vertical="center" wrapText="1"/>
    </xf>
    <xf numFmtId="0" fontId="89" fillId="0" borderId="5" xfId="2" applyFont="1" applyBorder="1" applyAlignment="1">
      <alignment vertical="center" wrapText="1"/>
    </xf>
    <xf numFmtId="0" fontId="74" fillId="0" borderId="2" xfId="2" applyFont="1" applyBorder="1"/>
    <xf numFmtId="0" fontId="74" fillId="0" borderId="2" xfId="0" applyFont="1" applyBorder="1" applyAlignment="1">
      <alignment horizontal="left" vertical="center" wrapText="1"/>
    </xf>
    <xf numFmtId="0" fontId="11" fillId="0" borderId="2" xfId="0" applyFont="1" applyBorder="1" applyAlignment="1">
      <alignment horizontal="left" vertical="center"/>
    </xf>
    <xf numFmtId="14" fontId="11" fillId="0" borderId="2" xfId="0" applyNumberFormat="1" applyFont="1" applyBorder="1" applyAlignment="1">
      <alignment horizontal="center" vertical="center"/>
    </xf>
    <xf numFmtId="0" fontId="89" fillId="0" borderId="2" xfId="2" applyFont="1" applyBorder="1" applyAlignment="1">
      <alignment horizontal="left" vertical="center" wrapText="1"/>
    </xf>
    <xf numFmtId="0" fontId="17" fillId="0" borderId="0" xfId="0" applyFont="1" applyAlignment="1">
      <alignment horizontal="left" vertical="center"/>
    </xf>
    <xf numFmtId="14" fontId="11" fillId="0" borderId="2" xfId="0" applyNumberFormat="1" applyFont="1" applyBorder="1" applyAlignment="1">
      <alignment horizontal="center"/>
    </xf>
    <xf numFmtId="0" fontId="89" fillId="0" borderId="2" xfId="2" applyFont="1" applyBorder="1" applyAlignment="1">
      <alignment horizontal="center" vertical="center" wrapText="1"/>
    </xf>
    <xf numFmtId="14" fontId="89" fillId="0" borderId="5" xfId="2" applyNumberFormat="1" applyFont="1" applyBorder="1" applyAlignment="1">
      <alignment horizontal="center" vertical="center" wrapText="1"/>
    </xf>
    <xf numFmtId="0" fontId="74" fillId="0" borderId="13" xfId="0" applyFont="1" applyBorder="1" applyAlignment="1">
      <alignment horizontal="left" vertical="center" wrapText="1"/>
    </xf>
    <xf numFmtId="0" fontId="89" fillId="0" borderId="3" xfId="2" applyFont="1" applyBorder="1" applyAlignment="1">
      <alignment horizontal="center" vertical="center" wrapText="1"/>
    </xf>
    <xf numFmtId="14" fontId="11" fillId="0" borderId="5" xfId="0" applyNumberFormat="1" applyFont="1" applyBorder="1" applyAlignment="1">
      <alignment horizontal="center"/>
    </xf>
    <xf numFmtId="0" fontId="74" fillId="0" borderId="2" xfId="0" applyFont="1" applyBorder="1" applyAlignment="1">
      <alignment horizontal="center" vertical="center" wrapText="1"/>
    </xf>
    <xf numFmtId="0" fontId="89" fillId="0" borderId="2" xfId="0" applyFont="1" applyBorder="1" applyAlignment="1">
      <alignment vertical="center" wrapText="1"/>
    </xf>
    <xf numFmtId="0" fontId="89" fillId="0" borderId="5" xfId="0" applyFont="1" applyBorder="1" applyAlignment="1">
      <alignment vertical="center" wrapText="1"/>
    </xf>
    <xf numFmtId="0" fontId="74" fillId="0" borderId="2" xfId="0" applyFont="1" applyBorder="1"/>
    <xf numFmtId="0" fontId="17" fillId="0" borderId="0" xfId="2" applyFont="1"/>
    <xf numFmtId="0" fontId="17" fillId="0" borderId="0" xfId="2" applyFont="1" applyAlignment="1">
      <alignment horizontal="center" vertical="top" wrapText="1"/>
    </xf>
    <xf numFmtId="0" fontId="17" fillId="0" borderId="0" xfId="2" applyFont="1" applyAlignment="1">
      <alignment vertical="top" wrapText="1"/>
    </xf>
    <xf numFmtId="0" fontId="23" fillId="0" borderId="0" xfId="2" applyFont="1"/>
    <xf numFmtId="0" fontId="26" fillId="0" borderId="2" xfId="2" applyFont="1" applyBorder="1" applyAlignment="1">
      <alignment horizontal="center" vertical="center" wrapText="1"/>
    </xf>
    <xf numFmtId="0" fontId="23" fillId="0" borderId="0" xfId="2" applyFont="1" applyAlignment="1">
      <alignment horizontal="center" vertical="center"/>
    </xf>
    <xf numFmtId="0" fontId="23" fillId="0" borderId="0" xfId="2" applyFont="1" applyBorder="1" applyAlignment="1">
      <alignment horizontal="center" vertical="center"/>
    </xf>
    <xf numFmtId="0" fontId="31" fillId="0" borderId="1" xfId="2" applyFont="1" applyBorder="1" applyAlignment="1">
      <alignment horizontal="center" vertical="center"/>
    </xf>
    <xf numFmtId="0" fontId="31" fillId="0" borderId="10" xfId="2" applyFont="1" applyBorder="1" applyAlignment="1">
      <alignment horizontal="center" vertical="center" wrapText="1"/>
    </xf>
    <xf numFmtId="2" fontId="11" fillId="0" borderId="2" xfId="0" applyNumberFormat="1" applyFont="1" applyBorder="1" applyAlignment="1">
      <alignment vertical="center" wrapText="1"/>
    </xf>
    <xf numFmtId="0" fontId="24" fillId="0" borderId="0" xfId="2" applyFont="1"/>
    <xf numFmtId="1" fontId="11" fillId="0" borderId="2" xfId="0" applyNumberFormat="1" applyFont="1" applyBorder="1" applyAlignment="1">
      <alignment horizontal="center" vertical="center" wrapText="1"/>
    </xf>
    <xf numFmtId="0" fontId="24" fillId="0" borderId="2" xfId="2" applyFont="1" applyBorder="1" applyAlignment="1">
      <alignment horizontal="center"/>
    </xf>
    <xf numFmtId="1" fontId="24" fillId="0" borderId="2" xfId="2" applyNumberFormat="1" applyFont="1" applyBorder="1" applyAlignment="1">
      <alignment horizontal="center" vertical="center"/>
    </xf>
    <xf numFmtId="0" fontId="24" fillId="0" borderId="2" xfId="2" applyFont="1" applyBorder="1" applyAlignment="1">
      <alignment horizontal="center" vertical="center"/>
    </xf>
    <xf numFmtId="2" fontId="24" fillId="0" borderId="2" xfId="2" applyNumberFormat="1" applyFont="1" applyBorder="1" applyAlignment="1">
      <alignment horizontal="center" vertical="center"/>
    </xf>
    <xf numFmtId="1" fontId="17" fillId="0" borderId="5" xfId="0" applyNumberFormat="1" applyFont="1" applyBorder="1" applyAlignment="1">
      <alignment horizontal="center" vertical="center" wrapText="1"/>
    </xf>
    <xf numFmtId="2" fontId="17" fillId="0" borderId="2" xfId="0" applyNumberFormat="1" applyFont="1" applyBorder="1" applyAlignment="1">
      <alignment horizontal="center" vertical="center" wrapText="1"/>
    </xf>
    <xf numFmtId="0" fontId="11" fillId="0" borderId="0" xfId="12"/>
    <xf numFmtId="0" fontId="7" fillId="0" borderId="0" xfId="12" applyFont="1" applyAlignment="1"/>
    <xf numFmtId="0" fontId="11" fillId="0" borderId="0" xfId="12" applyFont="1"/>
    <xf numFmtId="0" fontId="9" fillId="0" borderId="0" xfId="12" applyFont="1" applyAlignment="1">
      <alignment horizontal="center" wrapText="1"/>
    </xf>
    <xf numFmtId="0" fontId="10" fillId="0" borderId="0" xfId="12" applyFont="1"/>
    <xf numFmtId="0" fontId="6" fillId="0" borderId="2" xfId="12" applyFont="1" applyBorder="1" applyAlignment="1">
      <alignment horizontal="center" vertical="center" wrapText="1"/>
    </xf>
    <xf numFmtId="0" fontId="11" fillId="0" borderId="0" xfId="12" applyAlignment="1">
      <alignment vertical="center"/>
    </xf>
    <xf numFmtId="0" fontId="11" fillId="0" borderId="0" xfId="12" applyBorder="1" applyAlignment="1">
      <alignment vertical="center"/>
    </xf>
    <xf numFmtId="0" fontId="6" fillId="0" borderId="0" xfId="12" applyFont="1" applyAlignment="1">
      <alignment vertical="center"/>
    </xf>
    <xf numFmtId="0" fontId="11" fillId="0" borderId="2" xfId="12" applyBorder="1" applyAlignment="1">
      <alignment horizontal="center" vertical="center"/>
    </xf>
    <xf numFmtId="0" fontId="11" fillId="0" borderId="0" xfId="12" applyBorder="1"/>
    <xf numFmtId="0" fontId="11" fillId="0" borderId="0" xfId="12" applyFill="1" applyBorder="1" applyAlignment="1">
      <alignment horizontal="left"/>
    </xf>
    <xf numFmtId="0" fontId="6" fillId="0" borderId="0" xfId="12" applyFont="1" applyAlignment="1">
      <alignment vertical="top" wrapText="1"/>
    </xf>
    <xf numFmtId="0" fontId="6" fillId="0" borderId="0" xfId="12" applyFont="1"/>
    <xf numFmtId="1" fontId="11" fillId="3" borderId="2" xfId="0" applyNumberFormat="1" applyFont="1" applyFill="1" applyBorder="1" applyAlignment="1">
      <alignment vertical="center" wrapText="1"/>
    </xf>
    <xf numFmtId="1" fontId="11" fillId="3" borderId="2" xfId="0" applyNumberFormat="1" applyFont="1" applyFill="1" applyBorder="1" applyAlignment="1">
      <alignment vertical="center"/>
    </xf>
    <xf numFmtId="1" fontId="11" fillId="3" borderId="2" xfId="0" applyNumberFormat="1" applyFont="1" applyFill="1" applyBorder="1" applyAlignment="1"/>
    <xf numFmtId="2" fontId="11" fillId="0" borderId="5" xfId="0" applyNumberFormat="1" applyFont="1" applyBorder="1" applyAlignment="1">
      <alignment vertical="top" wrapText="1"/>
    </xf>
    <xf numFmtId="1" fontId="6" fillId="0" borderId="2" xfId="0" applyNumberFormat="1" applyFont="1" applyBorder="1" applyAlignment="1">
      <alignment vertical="center"/>
    </xf>
    <xf numFmtId="2" fontId="6" fillId="0" borderId="2" xfId="0" applyNumberFormat="1" applyFont="1" applyBorder="1" applyAlignment="1">
      <alignment vertical="center"/>
    </xf>
    <xf numFmtId="0" fontId="75" fillId="3" borderId="2" xfId="0" applyFont="1" applyFill="1" applyBorder="1" applyAlignment="1">
      <alignment horizontal="center" vertical="center" wrapText="1"/>
    </xf>
    <xf numFmtId="0" fontId="6" fillId="0" borderId="2" xfId="5" applyFont="1" applyBorder="1"/>
    <xf numFmtId="0" fontId="0" fillId="3" borderId="2" xfId="0" applyFill="1" applyBorder="1" applyAlignment="1">
      <alignment horizontal="center"/>
    </xf>
    <xf numFmtId="1" fontId="6" fillId="0" borderId="2" xfId="5" applyNumberFormat="1" applyFont="1" applyBorder="1" applyAlignment="1">
      <alignment horizontal="center"/>
    </xf>
    <xf numFmtId="0" fontId="92" fillId="0" borderId="0" xfId="0" applyFont="1"/>
    <xf numFmtId="0" fontId="92" fillId="0" borderId="2" xfId="0" applyFont="1" applyBorder="1"/>
    <xf numFmtId="0" fontId="92" fillId="0" borderId="2" xfId="0" applyFont="1" applyBorder="1" applyAlignment="1">
      <alignment horizontal="center"/>
    </xf>
    <xf numFmtId="0" fontId="92" fillId="0" borderId="1" xfId="0" applyFont="1" applyBorder="1" applyAlignment="1">
      <alignment horizontal="center"/>
    </xf>
    <xf numFmtId="0" fontId="92" fillId="0" borderId="5" xfId="0" applyFont="1" applyBorder="1"/>
    <xf numFmtId="0" fontId="92" fillId="0" borderId="6" xfId="0" applyFont="1" applyBorder="1"/>
    <xf numFmtId="0" fontId="92" fillId="0" borderId="3" xfId="0" applyFont="1" applyBorder="1"/>
    <xf numFmtId="0" fontId="0" fillId="0" borderId="0" xfId="0" applyAlignment="1">
      <alignment vertical="center"/>
    </xf>
    <xf numFmtId="0" fontId="39" fillId="0" borderId="2" xfId="0" quotePrefix="1" applyFont="1" applyBorder="1" applyAlignment="1">
      <alignment horizontal="center" vertical="center" wrapText="1"/>
    </xf>
    <xf numFmtId="0" fontId="11" fillId="0" borderId="5" xfId="0" applyFont="1" applyBorder="1" applyAlignment="1">
      <alignment horizontal="center" vertical="top" wrapText="1"/>
    </xf>
    <xf numFmtId="0" fontId="11" fillId="0" borderId="5" xfId="0" applyFont="1" applyBorder="1" applyAlignment="1">
      <alignment horizontal="center" vertical="center" wrapText="1"/>
    </xf>
    <xf numFmtId="0" fontId="11" fillId="0" borderId="4" xfId="0" applyFont="1" applyBorder="1" applyAlignment="1">
      <alignment horizontal="center"/>
    </xf>
    <xf numFmtId="0" fontId="6" fillId="0" borderId="7" xfId="0" applyFont="1" applyBorder="1" applyAlignment="1"/>
    <xf numFmtId="0" fontId="0" fillId="0" borderId="2" xfId="0" applyBorder="1" applyAlignment="1">
      <alignment vertical="center"/>
    </xf>
    <xf numFmtId="2" fontId="11" fillId="0" borderId="2" xfId="0" applyNumberFormat="1" applyFont="1" applyBorder="1" applyAlignment="1">
      <alignment vertical="center"/>
    </xf>
    <xf numFmtId="0" fontId="11" fillId="0" borderId="2" xfId="1" applyFont="1" applyBorder="1" applyAlignment="1">
      <alignment vertical="center"/>
    </xf>
    <xf numFmtId="0" fontId="11" fillId="0" borderId="2" xfId="0" applyFont="1" applyBorder="1" applyAlignment="1">
      <alignment vertical="center"/>
    </xf>
    <xf numFmtId="0" fontId="6" fillId="0" borderId="2" xfId="0" applyFont="1" applyBorder="1" applyAlignment="1">
      <alignment vertical="center"/>
    </xf>
    <xf numFmtId="0" fontId="55" fillId="0" borderId="0" xfId="0" applyFont="1"/>
    <xf numFmtId="0" fontId="16" fillId="3" borderId="0" xfId="0" applyFont="1" applyFill="1"/>
    <xf numFmtId="0" fontId="11" fillId="3" borderId="0" xfId="0" applyFont="1" applyFill="1" applyAlignment="1">
      <alignment horizontal="center" vertical="center"/>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xf>
    <xf numFmtId="0" fontId="6" fillId="3" borderId="2" xfId="0" applyFont="1" applyFill="1" applyBorder="1" applyAlignment="1">
      <alignment horizontal="center"/>
    </xf>
    <xf numFmtId="0" fontId="90" fillId="3" borderId="0" xfId="0" applyFont="1" applyFill="1"/>
    <xf numFmtId="0" fontId="93" fillId="3" borderId="0" xfId="0" applyFont="1" applyFill="1" applyBorder="1" applyAlignment="1">
      <alignment horizontal="right"/>
    </xf>
    <xf numFmtId="0" fontId="93" fillId="3" borderId="2" xfId="0" applyFont="1" applyFill="1" applyBorder="1" applyAlignment="1">
      <alignment horizontal="center" vertical="center" wrapText="1"/>
    </xf>
    <xf numFmtId="0" fontId="93" fillId="3" borderId="5" xfId="0" applyFont="1" applyFill="1" applyBorder="1" applyAlignment="1">
      <alignment horizontal="center" vertical="center" wrapText="1"/>
    </xf>
    <xf numFmtId="0" fontId="90" fillId="3" borderId="2" xfId="0" applyFont="1" applyFill="1" applyBorder="1" applyAlignment="1">
      <alignment horizontal="center"/>
    </xf>
    <xf numFmtId="0" fontId="90" fillId="3" borderId="2" xfId="0" quotePrefix="1" applyFont="1" applyFill="1" applyBorder="1" applyAlignment="1">
      <alignment horizontal="center"/>
    </xf>
    <xf numFmtId="0" fontId="93" fillId="3" borderId="2" xfId="0" applyFont="1" applyFill="1" applyBorder="1" applyAlignment="1">
      <alignment horizontal="center"/>
    </xf>
    <xf numFmtId="0" fontId="6" fillId="3" borderId="0"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4" xfId="0" applyFont="1" applyFill="1" applyBorder="1" applyAlignment="1">
      <alignment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vertical="center" wrapText="1"/>
    </xf>
    <xf numFmtId="0" fontId="6" fillId="3" borderId="6" xfId="0" applyFont="1" applyFill="1" applyBorder="1" applyAlignment="1">
      <alignment vertical="center" wrapText="1"/>
    </xf>
    <xf numFmtId="0" fontId="11" fillId="3" borderId="0" xfId="0" applyFont="1" applyFill="1" applyBorder="1" applyAlignment="1">
      <alignment horizontal="center" vertical="center"/>
    </xf>
    <xf numFmtId="0" fontId="37" fillId="0" borderId="2" xfId="0" applyFont="1" applyBorder="1"/>
    <xf numFmtId="0" fontId="37" fillId="3" borderId="2" xfId="0" applyFont="1" applyFill="1" applyBorder="1"/>
    <xf numFmtId="0" fontId="60" fillId="0" borderId="2" xfId="0" applyFont="1" applyFill="1" applyBorder="1" applyAlignment="1">
      <alignment horizontal="center"/>
    </xf>
    <xf numFmtId="2" fontId="60" fillId="0" borderId="2" xfId="0" applyNumberFormat="1" applyFont="1" applyFill="1" applyBorder="1" applyAlignment="1">
      <alignment horizontal="right"/>
    </xf>
    <xf numFmtId="2" fontId="60" fillId="0" borderId="0" xfId="0" applyNumberFormat="1" applyFont="1" applyFill="1" applyBorder="1"/>
    <xf numFmtId="0" fontId="60" fillId="0" borderId="2" xfId="0" applyFont="1" applyFill="1" applyBorder="1"/>
    <xf numFmtId="0" fontId="61" fillId="0" borderId="2" xfId="0" applyFont="1" applyFill="1" applyBorder="1" applyAlignment="1">
      <alignment horizontal="center"/>
    </xf>
    <xf numFmtId="2" fontId="61" fillId="0" borderId="2" xfId="0" applyNumberFormat="1" applyFont="1" applyFill="1" applyBorder="1" applyAlignment="1">
      <alignment horizontal="right"/>
    </xf>
    <xf numFmtId="2" fontId="61" fillId="0" borderId="2" xfId="0" applyNumberFormat="1" applyFont="1" applyFill="1" applyBorder="1" applyAlignment="1">
      <alignment horizontal="center"/>
    </xf>
    <xf numFmtId="0" fontId="74" fillId="0" borderId="0" xfId="2"/>
    <xf numFmtId="0" fontId="74" fillId="0" borderId="0" xfId="2" applyAlignment="1">
      <alignment horizontal="left"/>
    </xf>
    <xf numFmtId="0" fontId="74" fillId="0" borderId="7" xfId="2" applyBorder="1" applyAlignment="1">
      <alignment horizontal="center"/>
    </xf>
    <xf numFmtId="0" fontId="24" fillId="0" borderId="2" xfId="2" applyFont="1" applyBorder="1" applyAlignment="1">
      <alignment horizontal="center" vertical="top" wrapText="1"/>
    </xf>
    <xf numFmtId="0" fontId="24" fillId="0" borderId="5" xfId="2" applyFont="1" applyBorder="1" applyAlignment="1">
      <alignment horizontal="center" vertical="top" wrapText="1"/>
    </xf>
    <xf numFmtId="0" fontId="22" fillId="0" borderId="0" xfId="2" applyFont="1"/>
    <xf numFmtId="0" fontId="22" fillId="0" borderId="0" xfId="2" applyFont="1" applyBorder="1" applyAlignment="1">
      <alignment horizontal="center"/>
    </xf>
    <xf numFmtId="0" fontId="22" fillId="0" borderId="0" xfId="2" applyFont="1" applyAlignment="1">
      <alignment horizontal="center"/>
    </xf>
    <xf numFmtId="0" fontId="10" fillId="0" borderId="2" xfId="0" applyFont="1" applyBorder="1" applyAlignment="1">
      <alignment horizontal="center" vertical="top" wrapText="1"/>
    </xf>
    <xf numFmtId="0" fontId="25" fillId="0" borderId="3" xfId="2" applyFont="1" applyBorder="1" applyAlignment="1">
      <alignment horizontal="center" vertical="top" wrapText="1"/>
    </xf>
    <xf numFmtId="0" fontId="25" fillId="0" borderId="2" xfId="2" applyFont="1" applyBorder="1" applyAlignment="1">
      <alignment horizontal="center" vertical="top" wrapText="1"/>
    </xf>
    <xf numFmtId="0" fontId="33" fillId="0" borderId="0" xfId="2" applyFont="1" applyAlignment="1">
      <alignment horizontal="center"/>
    </xf>
    <xf numFmtId="0" fontId="60" fillId="3" borderId="2" xfId="0" applyFont="1" applyFill="1" applyBorder="1" applyAlignment="1">
      <alignment horizontal="center"/>
    </xf>
    <xf numFmtId="0" fontId="60" fillId="3" borderId="2" xfId="0" applyFont="1" applyFill="1" applyBorder="1"/>
    <xf numFmtId="0" fontId="74" fillId="0" borderId="0" xfId="2" applyBorder="1"/>
    <xf numFmtId="0" fontId="74" fillId="0" borderId="2" xfId="2" applyBorder="1"/>
    <xf numFmtId="0" fontId="0" fillId="3" borderId="2" xfId="0" applyFill="1" applyBorder="1" applyAlignment="1">
      <alignment horizontal="left" vertical="center"/>
    </xf>
    <xf numFmtId="0" fontId="11" fillId="3" borderId="2" xfId="0" applyFont="1" applyFill="1" applyBorder="1" applyAlignment="1">
      <alignment horizontal="center" vertical="center"/>
    </xf>
    <xf numFmtId="2" fontId="11" fillId="3" borderId="2" xfId="0" applyNumberFormat="1" applyFont="1" applyFill="1" applyBorder="1" applyAlignment="1">
      <alignment horizontal="right" vertical="center"/>
    </xf>
    <xf numFmtId="2" fontId="11" fillId="3" borderId="2" xfId="0" applyNumberFormat="1" applyFont="1" applyFill="1" applyBorder="1" applyAlignment="1">
      <alignment horizontal="center" vertical="center"/>
    </xf>
    <xf numFmtId="2" fontId="22" fillId="0" borderId="2" xfId="1" applyNumberFormat="1" applyFont="1" applyBorder="1" applyAlignment="1">
      <alignment horizontal="center"/>
    </xf>
    <xf numFmtId="0" fontId="0" fillId="3" borderId="5" xfId="0" applyFill="1" applyBorder="1" applyAlignment="1">
      <alignment horizontal="left" vertical="center"/>
    </xf>
    <xf numFmtId="0" fontId="19" fillId="3" borderId="2" xfId="0" applyFont="1" applyFill="1" applyBorder="1" applyAlignment="1">
      <alignment horizontal="center" vertical="center"/>
    </xf>
    <xf numFmtId="2" fontId="19" fillId="3" borderId="2" xfId="0" applyNumberFormat="1" applyFont="1" applyFill="1" applyBorder="1" applyAlignment="1">
      <alignment horizontal="right" vertical="center"/>
    </xf>
    <xf numFmtId="0" fontId="60" fillId="0" borderId="1" xfId="0" applyFont="1" applyFill="1" applyBorder="1"/>
    <xf numFmtId="0" fontId="60" fillId="0" borderId="1" xfId="0" applyFont="1" applyFill="1" applyBorder="1" applyAlignment="1">
      <alignment horizontal="center"/>
    </xf>
    <xf numFmtId="1" fontId="10" fillId="0" borderId="2" xfId="0" applyNumberFormat="1" applyFont="1" applyBorder="1" applyAlignment="1">
      <alignment horizontal="center" vertical="center"/>
    </xf>
    <xf numFmtId="0" fontId="17" fillId="0" borderId="0" xfId="0" applyFont="1" applyAlignment="1">
      <alignment horizontal="left"/>
    </xf>
    <xf numFmtId="0" fontId="52"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 xfId="0" applyFont="1" applyBorder="1" applyAlignment="1">
      <alignment horizontal="left" vertical="center" wrapText="1"/>
    </xf>
    <xf numFmtId="0" fontId="63" fillId="0" borderId="2" xfId="0" quotePrefix="1" applyFont="1" applyBorder="1" applyAlignment="1">
      <alignment horizontal="center" vertical="center" wrapText="1"/>
    </xf>
    <xf numFmtId="0" fontId="63" fillId="0" borderId="2" xfId="0" quotePrefix="1" applyFont="1" applyFill="1" applyBorder="1" applyAlignment="1">
      <alignment horizontal="center" vertical="center" wrapText="1"/>
    </xf>
    <xf numFmtId="0" fontId="17" fillId="0" borderId="2" xfId="0" applyFont="1" applyBorder="1" applyAlignment="1">
      <alignment horizontal="left"/>
    </xf>
    <xf numFmtId="0" fontId="17" fillId="0" borderId="2" xfId="0" applyFont="1" applyFill="1" applyBorder="1" applyAlignment="1">
      <alignment horizontal="center" vertical="center" wrapText="1"/>
    </xf>
    <xf numFmtId="1" fontId="17" fillId="0" borderId="2" xfId="0" applyNumberFormat="1" applyFont="1" applyFill="1" applyBorder="1" applyAlignment="1">
      <alignment horizontal="center" vertical="center" wrapText="1"/>
    </xf>
    <xf numFmtId="1" fontId="10" fillId="0" borderId="2" xfId="0" applyNumberFormat="1" applyFont="1" applyBorder="1" applyAlignment="1">
      <alignment horizontal="center"/>
    </xf>
    <xf numFmtId="1" fontId="19" fillId="0" borderId="5" xfId="0" applyNumberFormat="1" applyFont="1" applyBorder="1" applyAlignment="1">
      <alignment horizontal="center" vertical="center" wrapText="1"/>
    </xf>
    <xf numFmtId="1" fontId="19" fillId="0" borderId="2" xfId="0" applyNumberFormat="1" applyFont="1" applyFill="1" applyBorder="1" applyAlignment="1">
      <alignment horizontal="center" vertical="center" wrapText="1"/>
    </xf>
    <xf numFmtId="1" fontId="10" fillId="0" borderId="0" xfId="0" applyNumberFormat="1" applyFont="1"/>
    <xf numFmtId="0" fontId="17" fillId="0" borderId="0" xfId="0" applyFont="1" applyFill="1" applyAlignment="1">
      <alignment horizontal="left"/>
    </xf>
    <xf numFmtId="0" fontId="17" fillId="0" borderId="0" xfId="0" applyFont="1" applyFill="1" applyAlignment="1"/>
    <xf numFmtId="0" fontId="94" fillId="0" borderId="2" xfId="0" applyFont="1" applyBorder="1" applyAlignment="1">
      <alignment horizontal="left"/>
    </xf>
    <xf numFmtId="0" fontId="52" fillId="0" borderId="2" xfId="0" applyFont="1" applyBorder="1" applyAlignment="1">
      <alignment horizontal="left"/>
    </xf>
    <xf numFmtId="0" fontId="52" fillId="0" borderId="2" xfId="0" applyFont="1" applyFill="1" applyBorder="1" applyAlignment="1">
      <alignment horizontal="left"/>
    </xf>
    <xf numFmtId="0" fontId="17" fillId="0" borderId="2" xfId="0" applyFont="1" applyFill="1" applyBorder="1" applyAlignment="1"/>
    <xf numFmtId="0" fontId="81" fillId="0" borderId="0" xfId="13" applyFont="1" applyFill="1" applyAlignment="1">
      <alignment horizontal="center"/>
    </xf>
    <xf numFmtId="0" fontId="11" fillId="0" borderId="0" xfId="13"/>
    <xf numFmtId="0" fontId="37" fillId="0" borderId="0" xfId="13" applyFont="1" applyFill="1"/>
    <xf numFmtId="0" fontId="38" fillId="0" borderId="0" xfId="13" applyFont="1" applyFill="1" applyBorder="1" applyAlignment="1"/>
    <xf numFmtId="0" fontId="6" fillId="0" borderId="2" xfId="13" applyFont="1" applyFill="1" applyBorder="1" applyAlignment="1">
      <alignment horizontal="center" vertical="center" wrapText="1"/>
    </xf>
    <xf numFmtId="0" fontId="11" fillId="0" borderId="0" xfId="13" applyFill="1" applyAlignment="1">
      <alignment horizontal="center" vertical="center"/>
    </xf>
    <xf numFmtId="0" fontId="38" fillId="0" borderId="2" xfId="13" applyFont="1" applyFill="1" applyBorder="1" applyAlignment="1">
      <alignment horizontal="center" vertical="center" wrapText="1"/>
    </xf>
    <xf numFmtId="0" fontId="39" fillId="0" borderId="2" xfId="13" quotePrefix="1" applyFont="1" applyFill="1" applyBorder="1" applyAlignment="1">
      <alignment horizontal="center" vertical="top" wrapText="1"/>
    </xf>
    <xf numFmtId="0" fontId="11" fillId="0" borderId="2" xfId="13" applyFill="1" applyBorder="1" applyAlignment="1">
      <alignment horizontal="center"/>
    </xf>
    <xf numFmtId="0" fontId="11" fillId="0" borderId="2" xfId="13" applyFill="1" applyBorder="1"/>
    <xf numFmtId="0" fontId="11" fillId="0" borderId="2" xfId="13" applyFont="1" applyFill="1" applyBorder="1" applyAlignment="1">
      <alignment horizontal="center" vertical="center" wrapText="1"/>
    </xf>
    <xf numFmtId="0" fontId="11" fillId="0" borderId="5" xfId="13" applyFont="1" applyFill="1" applyBorder="1" applyAlignment="1">
      <alignment horizontal="center" vertical="center" wrapText="1"/>
    </xf>
    <xf numFmtId="0" fontId="11" fillId="0" borderId="2" xfId="13" applyFont="1" applyFill="1" applyBorder="1" applyAlignment="1">
      <alignment vertical="center" wrapText="1"/>
    </xf>
    <xf numFmtId="0" fontId="11" fillId="0" borderId="0" xfId="13" applyFill="1"/>
    <xf numFmtId="0" fontId="11" fillId="0" borderId="2" xfId="13" applyFill="1" applyBorder="1" applyAlignment="1">
      <alignment horizontal="center" vertical="center"/>
    </xf>
    <xf numFmtId="0" fontId="11" fillId="0" borderId="2" xfId="13" applyFill="1" applyBorder="1" applyAlignment="1">
      <alignment vertical="center"/>
    </xf>
    <xf numFmtId="0" fontId="11" fillId="0" borderId="0" xfId="13" applyAlignment="1">
      <alignment vertical="center"/>
    </xf>
    <xf numFmtId="0" fontId="11" fillId="0" borderId="2" xfId="13" applyFont="1" applyFill="1" applyBorder="1" applyAlignment="1">
      <alignment horizontal="center" vertical="center"/>
    </xf>
    <xf numFmtId="0" fontId="11" fillId="0" borderId="5" xfId="13" applyFont="1" applyFill="1" applyBorder="1" applyAlignment="1">
      <alignment horizontal="center" vertical="center"/>
    </xf>
    <xf numFmtId="0" fontId="11" fillId="0" borderId="2" xfId="13" applyFont="1" applyFill="1" applyBorder="1" applyAlignment="1">
      <alignment vertical="center"/>
    </xf>
    <xf numFmtId="0" fontId="6" fillId="0" borderId="2" xfId="13" applyFont="1" applyFill="1" applyBorder="1" applyAlignment="1">
      <alignment horizontal="center"/>
    </xf>
    <xf numFmtId="0" fontId="6" fillId="0" borderId="2" xfId="13" applyFont="1" applyFill="1" applyBorder="1"/>
    <xf numFmtId="0" fontId="11" fillId="0" borderId="0" xfId="13" applyFont="1" applyFill="1" applyBorder="1" applyAlignment="1">
      <alignment vertical="center"/>
    </xf>
    <xf numFmtId="1" fontId="11" fillId="0" borderId="2" xfId="0" applyNumberFormat="1" applyFont="1" applyBorder="1" applyAlignment="1">
      <alignment horizontal="center"/>
    </xf>
    <xf numFmtId="1" fontId="6" fillId="0" borderId="2" xfId="0" applyNumberFormat="1" applyFont="1" applyBorder="1" applyAlignment="1">
      <alignment horizontal="center"/>
    </xf>
    <xf numFmtId="1" fontId="6" fillId="0" borderId="0" xfId="0" applyNumberFormat="1" applyFont="1" applyBorder="1" applyAlignment="1">
      <alignment horizontal="center"/>
    </xf>
    <xf numFmtId="2" fontId="6" fillId="0" borderId="0" xfId="0" applyNumberFormat="1" applyFont="1" applyBorder="1" applyAlignment="1">
      <alignment horizontal="center"/>
    </xf>
    <xf numFmtId="0" fontId="6" fillId="0" borderId="2" xfId="0" applyFont="1" applyFill="1" applyBorder="1" applyAlignment="1">
      <alignment horizontal="center" vertical="top"/>
    </xf>
    <xf numFmtId="0" fontId="6" fillId="0" borderId="0" xfId="0" applyFont="1" applyFill="1" applyBorder="1" applyAlignment="1">
      <alignment horizontal="center"/>
    </xf>
    <xf numFmtId="0" fontId="6" fillId="0" borderId="0" xfId="0" applyFont="1" applyFill="1"/>
    <xf numFmtId="2" fontId="17" fillId="0" borderId="2" xfId="0" applyNumberFormat="1" applyFont="1" applyBorder="1" applyAlignment="1">
      <alignment horizontal="right"/>
    </xf>
    <xf numFmtId="2" fontId="0" fillId="0" borderId="2" xfId="0" applyNumberFormat="1" applyBorder="1" applyAlignment="1">
      <alignment horizontal="right"/>
    </xf>
    <xf numFmtId="0" fontId="6" fillId="0" borderId="0" xfId="0" applyNumberFormat="1" applyFont="1" applyBorder="1" applyAlignment="1">
      <alignment horizontal="left"/>
    </xf>
    <xf numFmtId="0" fontId="93" fillId="0" borderId="2" xfId="0" applyFont="1" applyBorder="1"/>
    <xf numFmtId="0" fontId="46" fillId="0" borderId="2" xfId="0" quotePrefix="1" applyFont="1" applyBorder="1" applyAlignment="1">
      <alignment vertical="top" wrapText="1"/>
    </xf>
    <xf numFmtId="0" fontId="38" fillId="0" borderId="2" xfId="0" quotePrefix="1" applyFont="1" applyBorder="1" applyAlignment="1">
      <alignment vertical="top" wrapText="1"/>
    </xf>
    <xf numFmtId="0" fontId="19" fillId="3" borderId="2" xfId="0" applyFont="1" applyFill="1" applyBorder="1" applyAlignment="1"/>
    <xf numFmtId="0" fontId="6" fillId="3" borderId="2" xfId="0" applyFont="1" applyFill="1" applyBorder="1" applyAlignment="1"/>
    <xf numFmtId="0" fontId="75" fillId="0" borderId="0" xfId="0" applyFont="1" applyFill="1" applyAlignment="1">
      <alignment vertical="center" wrapText="1"/>
    </xf>
    <xf numFmtId="1" fontId="95" fillId="0" borderId="6" xfId="0" applyNumberFormat="1" applyFont="1" applyFill="1" applyBorder="1" applyAlignment="1">
      <alignment horizontal="left" vertical="center" wrapText="1"/>
    </xf>
    <xf numFmtId="1" fontId="95" fillId="0" borderId="2" xfId="0" applyNumberFormat="1" applyFont="1" applyFill="1" applyBorder="1" applyAlignment="1">
      <alignment horizontal="left" vertical="center" wrapText="1"/>
    </xf>
    <xf numFmtId="0" fontId="6" fillId="0" borderId="2" xfId="0" applyFont="1" applyBorder="1" applyAlignment="1"/>
    <xf numFmtId="0" fontId="6" fillId="0" borderId="2" xfId="0" applyFont="1" applyBorder="1" applyAlignment="1">
      <alignment horizontal="right" vertical="top" wrapText="1"/>
    </xf>
    <xf numFmtId="0" fontId="6" fillId="0" borderId="5" xfId="0" applyFont="1" applyBorder="1" applyAlignment="1">
      <alignment horizontal="right" vertical="top" wrapText="1"/>
    </xf>
    <xf numFmtId="0" fontId="6" fillId="0" borderId="2" xfId="0" applyFont="1" applyBorder="1" applyAlignment="1">
      <alignment horizontal="right"/>
    </xf>
    <xf numFmtId="0" fontId="6" fillId="0" borderId="5" xfId="0" applyFont="1" applyBorder="1" applyAlignment="1">
      <alignment horizontal="right"/>
    </xf>
    <xf numFmtId="0" fontId="19" fillId="0" borderId="2" xfId="0" applyFont="1" applyBorder="1" applyAlignment="1">
      <alignment horizontal="right"/>
    </xf>
    <xf numFmtId="0" fontId="19" fillId="0" borderId="2" xfId="0" applyFont="1" applyBorder="1"/>
    <xf numFmtId="0" fontId="19" fillId="0" borderId="6" xfId="0" applyFont="1" applyBorder="1"/>
    <xf numFmtId="1" fontId="11" fillId="0" borderId="6" xfId="0" applyNumberFormat="1" applyFont="1" applyBorder="1"/>
    <xf numFmtId="0" fontId="92" fillId="0" borderId="2" xfId="0" applyFont="1" applyBorder="1" applyAlignment="1">
      <alignment horizontal="center"/>
    </xf>
    <xf numFmtId="0" fontId="11" fillId="0" borderId="0" xfId="8" applyAlignment="1">
      <alignment horizontal="center"/>
    </xf>
    <xf numFmtId="1" fontId="6" fillId="0" borderId="2" xfId="0" applyNumberFormat="1" applyFont="1" applyBorder="1"/>
    <xf numFmtId="1" fontId="6" fillId="0" borderId="6" xfId="0" applyNumberFormat="1" applyFont="1" applyBorder="1"/>
    <xf numFmtId="1" fontId="6" fillId="0" borderId="0" xfId="0" applyNumberFormat="1" applyFont="1"/>
    <xf numFmtId="2" fontId="6" fillId="0" borderId="0" xfId="0" applyNumberFormat="1" applyFont="1"/>
    <xf numFmtId="0" fontId="96" fillId="0" borderId="0" xfId="0" applyFont="1" applyFill="1" applyAlignment="1">
      <alignment vertical="center" wrapText="1"/>
    </xf>
    <xf numFmtId="1" fontId="64" fillId="0" borderId="6" xfId="0" applyNumberFormat="1" applyFont="1" applyFill="1" applyBorder="1" applyAlignment="1">
      <alignment horizontal="left" vertical="center" wrapText="1"/>
    </xf>
    <xf numFmtId="0" fontId="6" fillId="0" borderId="0" xfId="0" quotePrefix="1" applyFont="1" applyBorder="1" applyAlignment="1">
      <alignment horizontal="center"/>
    </xf>
    <xf numFmtId="0" fontId="6" fillId="0" borderId="0" xfId="0" applyFont="1" applyFill="1" applyBorder="1" applyAlignment="1">
      <alignment horizontal="left"/>
    </xf>
    <xf numFmtId="1" fontId="11" fillId="0" borderId="2" xfId="0" applyNumberFormat="1" applyFont="1" applyBorder="1" applyAlignment="1">
      <alignment horizontal="right" vertical="top" wrapText="1"/>
    </xf>
    <xf numFmtId="1" fontId="11" fillId="0" borderId="2" xfId="0" applyNumberFormat="1" applyFont="1" applyBorder="1"/>
    <xf numFmtId="1" fontId="11" fillId="0" borderId="8" xfId="0" applyNumberFormat="1" applyFont="1" applyBorder="1"/>
    <xf numFmtId="0" fontId="18" fillId="0" borderId="0" xfId="0" applyFont="1" applyAlignment="1"/>
    <xf numFmtId="2" fontId="6" fillId="0" borderId="2" xfId="0" applyNumberFormat="1" applyFont="1" applyBorder="1" applyAlignment="1">
      <alignment horizontal="right" vertical="top" wrapText="1"/>
    </xf>
    <xf numFmtId="2" fontId="6" fillId="0" borderId="5" xfId="0" applyNumberFormat="1" applyFont="1" applyBorder="1" applyAlignment="1">
      <alignment horizontal="right" vertical="top" wrapText="1"/>
    </xf>
    <xf numFmtId="2" fontId="6" fillId="0" borderId="2" xfId="0" applyNumberFormat="1" applyFont="1" applyBorder="1" applyAlignment="1">
      <alignment horizontal="right"/>
    </xf>
    <xf numFmtId="2" fontId="6" fillId="0" borderId="5" xfId="0" applyNumberFormat="1" applyFont="1" applyBorder="1"/>
    <xf numFmtId="2" fontId="6" fillId="0" borderId="2" xfId="0" applyNumberFormat="1" applyFont="1" applyBorder="1"/>
    <xf numFmtId="165" fontId="6" fillId="0" borderId="2" xfId="0" applyNumberFormat="1" applyFont="1" applyBorder="1"/>
    <xf numFmtId="0" fontId="11" fillId="0" borderId="6" xfId="0" applyFont="1" applyBorder="1" applyAlignment="1"/>
    <xf numFmtId="0" fontId="11" fillId="0" borderId="10" xfId="0" applyFont="1" applyFill="1" applyBorder="1" applyAlignment="1">
      <alignment horizontal="center"/>
    </xf>
    <xf numFmtId="0" fontId="6" fillId="0" borderId="6" xfId="0" applyFont="1" applyBorder="1"/>
    <xf numFmtId="0" fontId="6" fillId="0" borderId="5" xfId="0" applyFont="1" applyBorder="1"/>
    <xf numFmtId="1" fontId="6" fillId="3" borderId="2" xfId="0" applyNumberFormat="1" applyFont="1" applyFill="1" applyBorder="1" applyAlignment="1">
      <alignment horizontal="right" vertical="top" wrapText="1"/>
    </xf>
    <xf numFmtId="0" fontId="6" fillId="3" borderId="5" xfId="0" applyFont="1" applyFill="1" applyBorder="1" applyAlignment="1">
      <alignment horizontal="right" vertical="top" wrapText="1"/>
    </xf>
    <xf numFmtId="2" fontId="6" fillId="3" borderId="2" xfId="0" applyNumberFormat="1" applyFont="1" applyFill="1" applyBorder="1" applyAlignment="1">
      <alignment horizontal="right" vertical="top" wrapText="1"/>
    </xf>
    <xf numFmtId="1" fontId="11" fillId="3" borderId="2" xfId="0" applyNumberFormat="1" applyFont="1" applyFill="1" applyBorder="1" applyAlignment="1">
      <alignment horizontal="right"/>
    </xf>
    <xf numFmtId="0" fontId="11" fillId="0" borderId="2" xfId="0" applyFont="1" applyBorder="1" applyAlignment="1">
      <alignment horizontal="left"/>
    </xf>
    <xf numFmtId="1" fontId="11" fillId="3" borderId="2" xfId="0" applyNumberFormat="1" applyFont="1" applyFill="1" applyBorder="1"/>
    <xf numFmtId="0" fontId="11" fillId="3" borderId="5" xfId="0" applyFont="1" applyFill="1" applyBorder="1" applyAlignment="1">
      <alignment horizontal="right"/>
    </xf>
    <xf numFmtId="0" fontId="6" fillId="3" borderId="2" xfId="0" applyFont="1" applyFill="1" applyBorder="1" applyAlignment="1">
      <alignment horizontal="center" vertical="top"/>
    </xf>
    <xf numFmtId="1" fontId="6" fillId="3" borderId="2" xfId="0" applyNumberFormat="1" applyFont="1" applyFill="1" applyBorder="1" applyAlignment="1">
      <alignment vertical="top"/>
    </xf>
    <xf numFmtId="0" fontId="6" fillId="3" borderId="5" xfId="0" applyFont="1" applyFill="1" applyBorder="1" applyAlignment="1">
      <alignment vertical="top"/>
    </xf>
    <xf numFmtId="0" fontId="6" fillId="3" borderId="2" xfId="0" applyFont="1" applyFill="1" applyBorder="1" applyAlignment="1">
      <alignment vertical="top"/>
    </xf>
    <xf numFmtId="0" fontId="11" fillId="3" borderId="2" xfId="0" applyFont="1" applyFill="1" applyBorder="1" applyAlignment="1"/>
    <xf numFmtId="0" fontId="65" fillId="0" borderId="0" xfId="11" applyAlignment="1">
      <alignment vertical="center"/>
    </xf>
    <xf numFmtId="0" fontId="37" fillId="0" borderId="0" xfId="11" applyFont="1" applyAlignment="1">
      <alignment vertical="center"/>
    </xf>
    <xf numFmtId="0" fontId="38" fillId="0" borderId="0" xfId="11" applyFont="1" applyBorder="1" applyAlignment="1">
      <alignment vertical="center"/>
    </xf>
    <xf numFmtId="0" fontId="90" fillId="0" borderId="1" xfId="11" applyFont="1" applyBorder="1" applyAlignment="1">
      <alignment horizontal="center" vertical="center" wrapText="1"/>
    </xf>
    <xf numFmtId="0" fontId="11" fillId="0" borderId="2" xfId="1" applyFont="1" applyBorder="1" applyAlignment="1">
      <alignment horizontal="center" vertical="center"/>
    </xf>
    <xf numFmtId="0" fontId="65" fillId="0" borderId="2" xfId="11" applyBorder="1" applyAlignment="1">
      <alignment vertical="center"/>
    </xf>
    <xf numFmtId="0" fontId="11" fillId="0" borderId="2" xfId="11" applyFont="1" applyBorder="1" applyAlignment="1">
      <alignment horizontal="center" vertical="center" wrapText="1"/>
    </xf>
    <xf numFmtId="0" fontId="90" fillId="0" borderId="2" xfId="11" quotePrefix="1" applyFont="1" applyBorder="1" applyAlignment="1">
      <alignment horizontal="center" vertical="center" wrapText="1"/>
    </xf>
    <xf numFmtId="0" fontId="77" fillId="0" borderId="0" xfId="11" applyFont="1" applyAlignment="1">
      <alignment vertical="center"/>
    </xf>
    <xf numFmtId="0" fontId="6" fillId="0" borderId="0" xfId="2" applyFont="1" applyAlignment="1">
      <alignment horizontal="center" vertical="center"/>
    </xf>
    <xf numFmtId="0" fontId="74" fillId="0" borderId="2" xfId="11" applyFont="1" applyBorder="1" applyAlignment="1">
      <alignment horizontal="center"/>
    </xf>
    <xf numFmtId="0" fontId="6" fillId="0" borderId="3" xfId="2" applyFont="1" applyBorder="1" applyAlignment="1">
      <alignment horizontal="center"/>
    </xf>
    <xf numFmtId="0" fontId="74" fillId="0" borderId="2" xfId="11" applyFont="1" applyBorder="1" applyAlignment="1">
      <alignment horizontal="center" vertical="center"/>
    </xf>
    <xf numFmtId="1" fontId="92" fillId="0" borderId="2" xfId="0" applyNumberFormat="1" applyFont="1" applyBorder="1" applyAlignment="1">
      <alignment horizontal="center"/>
    </xf>
    <xf numFmtId="0" fontId="7" fillId="0" borderId="0" xfId="8" applyFont="1" applyAlignment="1">
      <alignment horizontal="right"/>
    </xf>
    <xf numFmtId="0" fontId="16" fillId="0" borderId="0" xfId="8" applyFont="1" applyAlignment="1"/>
    <xf numFmtId="0" fontId="11" fillId="0" borderId="0" xfId="8" applyFont="1" applyAlignment="1">
      <alignment horizontal="center" vertical="center"/>
    </xf>
    <xf numFmtId="0" fontId="11" fillId="0" borderId="0" xfId="8" applyFont="1" applyBorder="1" applyAlignment="1">
      <alignment horizontal="center" vertical="center"/>
    </xf>
    <xf numFmtId="0" fontId="21" fillId="0" borderId="2" xfId="8" applyFont="1" applyBorder="1" applyAlignment="1">
      <alignment horizontal="center" vertical="center"/>
    </xf>
    <xf numFmtId="0" fontId="21" fillId="0" borderId="2" xfId="8" applyFont="1" applyBorder="1" applyAlignment="1">
      <alignment horizontal="center" vertical="center" wrapText="1"/>
    </xf>
    <xf numFmtId="0" fontId="14" fillId="0" borderId="0" xfId="8" applyFont="1" applyBorder="1" applyAlignment="1">
      <alignment horizontal="center" vertical="center"/>
    </xf>
    <xf numFmtId="0" fontId="11" fillId="0" borderId="2" xfId="4" applyFont="1" applyBorder="1" applyAlignment="1">
      <alignment horizontal="center"/>
    </xf>
    <xf numFmtId="0" fontId="17" fillId="0" borderId="2" xfId="8" applyFont="1" applyBorder="1" applyAlignment="1">
      <alignment horizontal="left" vertical="center" wrapText="1"/>
    </xf>
    <xf numFmtId="1" fontId="17" fillId="0" borderId="2" xfId="4" applyNumberFormat="1" applyFont="1" applyBorder="1" applyAlignment="1">
      <alignment horizontal="center" vertical="center"/>
    </xf>
    <xf numFmtId="0" fontId="17" fillId="0" borderId="2" xfId="8" applyFont="1" applyBorder="1" applyAlignment="1">
      <alignment horizontal="left" vertical="center"/>
    </xf>
    <xf numFmtId="0" fontId="6" fillId="0" borderId="2" xfId="3" applyFont="1" applyBorder="1" applyAlignment="1">
      <alignment horizontal="center"/>
    </xf>
    <xf numFmtId="0" fontId="11" fillId="0" borderId="2" xfId="3" applyFont="1" applyBorder="1"/>
    <xf numFmtId="0" fontId="37" fillId="0" borderId="0" xfId="0" applyFont="1" applyAlignment="1"/>
    <xf numFmtId="0" fontId="0" fillId="0" borderId="0" xfId="0" applyAlignment="1"/>
    <xf numFmtId="0" fontId="38" fillId="0" borderId="2" xfId="0" applyFont="1" applyBorder="1" applyAlignment="1">
      <alignment horizontal="center" vertical="top"/>
    </xf>
    <xf numFmtId="0" fontId="39" fillId="0" borderId="2" xfId="0" quotePrefix="1" applyFont="1" applyBorder="1" applyAlignment="1">
      <alignment horizontal="center" vertical="center"/>
    </xf>
    <xf numFmtId="0" fontId="39" fillId="0" borderId="2" xfId="0" quotePrefix="1" applyFont="1" applyBorder="1" applyAlignment="1">
      <alignment horizontal="center" vertical="top"/>
    </xf>
    <xf numFmtId="0" fontId="37" fillId="0" borderId="2" xfId="1" applyFont="1" applyBorder="1" applyAlignment="1">
      <alignment vertical="center"/>
    </xf>
    <xf numFmtId="0" fontId="11" fillId="0" borderId="5" xfId="0" applyFont="1" applyBorder="1" applyAlignment="1">
      <alignment vertical="center"/>
    </xf>
    <xf numFmtId="165" fontId="11" fillId="0" borderId="2" xfId="0" applyNumberFormat="1" applyFont="1" applyBorder="1" applyAlignment="1">
      <alignment vertical="center"/>
    </xf>
    <xf numFmtId="0" fontId="37" fillId="0" borderId="2" xfId="1" quotePrefix="1" applyFont="1" applyBorder="1" applyAlignment="1">
      <alignment vertical="center"/>
    </xf>
    <xf numFmtId="0" fontId="89" fillId="0" borderId="2" xfId="0" applyFont="1" applyBorder="1" applyAlignment="1">
      <alignment horizontal="center" vertical="center" wrapText="1"/>
    </xf>
    <xf numFmtId="0" fontId="32" fillId="0" borderId="0" xfId="1" applyFont="1" applyAlignment="1"/>
    <xf numFmtId="0" fontId="20" fillId="0" borderId="0" xfId="0" applyFont="1" applyAlignment="1">
      <alignment horizontal="center"/>
    </xf>
    <xf numFmtId="0" fontId="19" fillId="0" borderId="0" xfId="0" applyFont="1" applyAlignment="1">
      <alignment horizontal="left"/>
    </xf>
    <xf numFmtId="0" fontId="19" fillId="0" borderId="0" xfId="0" applyFont="1" applyAlignment="1">
      <alignment horizontal="center" vertical="top" wrapText="1"/>
    </xf>
    <xf numFmtId="0" fontId="98" fillId="0" borderId="0" xfId="0" applyFont="1" applyBorder="1" applyAlignment="1">
      <alignment horizontal="center"/>
    </xf>
    <xf numFmtId="0" fontId="98" fillId="0" borderId="0" xfId="0" applyFont="1" applyBorder="1"/>
    <xf numFmtId="0" fontId="98" fillId="0" borderId="0" xfId="0" applyFont="1"/>
    <xf numFmtId="0" fontId="98" fillId="0" borderId="2" xfId="0" applyFont="1" applyBorder="1"/>
    <xf numFmtId="0" fontId="98" fillId="0" borderId="3" xfId="0" applyFont="1" applyBorder="1"/>
    <xf numFmtId="0" fontId="98" fillId="0" borderId="3" xfId="0" applyFont="1" applyBorder="1" applyAlignment="1">
      <alignment horizontal="center" vertical="center"/>
    </xf>
    <xf numFmtId="0" fontId="98" fillId="0" borderId="3" xfId="0" applyFont="1" applyBorder="1" applyAlignment="1">
      <alignment horizontal="center" vertical="center" wrapText="1"/>
    </xf>
    <xf numFmtId="0" fontId="98" fillId="0" borderId="3" xfId="0" applyFont="1" applyBorder="1" applyAlignment="1">
      <alignment wrapText="1"/>
    </xf>
    <xf numFmtId="0" fontId="98" fillId="0" borderId="3" xfId="0" applyFont="1" applyBorder="1" applyAlignment="1">
      <alignment vertical="center"/>
    </xf>
    <xf numFmtId="0" fontId="98" fillId="0" borderId="2" xfId="0" applyFont="1" applyBorder="1" applyAlignment="1">
      <alignment horizontal="center" vertical="center"/>
    </xf>
    <xf numFmtId="0" fontId="98" fillId="0" borderId="2" xfId="0" applyFont="1" applyBorder="1" applyAlignment="1">
      <alignment horizontal="center"/>
    </xf>
    <xf numFmtId="0" fontId="51" fillId="0" borderId="0" xfId="0" applyFont="1" applyAlignment="1">
      <alignment horizontal="right"/>
    </xf>
    <xf numFmtId="2" fontId="20" fillId="0" borderId="0" xfId="0" applyNumberFormat="1" applyFont="1" applyAlignment="1">
      <alignment horizontal="center"/>
    </xf>
    <xf numFmtId="0" fontId="19" fillId="0" borderId="3" xfId="0" applyFont="1" applyBorder="1" applyAlignment="1">
      <alignment vertical="top"/>
    </xf>
    <xf numFmtId="0" fontId="19" fillId="0" borderId="1" xfId="0" applyFont="1" applyBorder="1" applyAlignment="1">
      <alignment vertical="top" wrapText="1"/>
    </xf>
    <xf numFmtId="0" fontId="29" fillId="0" borderId="2" xfId="0" applyFont="1" applyBorder="1" applyAlignment="1">
      <alignment horizontal="center"/>
    </xf>
    <xf numFmtId="0" fontId="29" fillId="0" borderId="2" xfId="8" applyFont="1" applyBorder="1" applyAlignment="1">
      <alignment horizontal="center" wrapText="1"/>
    </xf>
    <xf numFmtId="0" fontId="29" fillId="0" borderId="0" xfId="0" applyFont="1" applyAlignment="1">
      <alignment horizontal="center" vertical="top" wrapText="1"/>
    </xf>
    <xf numFmtId="0" fontId="19" fillId="0" borderId="2" xfId="8" applyFont="1" applyBorder="1" applyAlignment="1">
      <alignment horizontal="left" vertical="center" wrapText="1"/>
    </xf>
    <xf numFmtId="0" fontId="99" fillId="0" borderId="2" xfId="0" applyFont="1" applyBorder="1" applyAlignment="1">
      <alignment horizontal="center"/>
    </xf>
    <xf numFmtId="2" fontId="19" fillId="0" borderId="2" xfId="0" applyNumberFormat="1" applyFont="1" applyBorder="1" applyAlignment="1">
      <alignment horizontal="right"/>
    </xf>
    <xf numFmtId="2" fontId="19" fillId="0" borderId="2" xfId="0" applyNumberFormat="1" applyFont="1" applyBorder="1" applyAlignment="1">
      <alignment horizontal="center"/>
    </xf>
    <xf numFmtId="2" fontId="100" fillId="0" borderId="2" xfId="0" applyNumberFormat="1" applyFont="1" applyBorder="1" applyAlignment="1">
      <alignment horizontal="center"/>
    </xf>
    <xf numFmtId="0" fontId="100" fillId="0" borderId="2" xfId="0" applyFont="1" applyBorder="1" applyAlignment="1">
      <alignment horizontal="center"/>
    </xf>
    <xf numFmtId="166" fontId="19" fillId="0" borderId="2" xfId="0" applyNumberFormat="1" applyFont="1" applyBorder="1" applyAlignment="1">
      <alignment horizontal="center"/>
    </xf>
    <xf numFmtId="0" fontId="19" fillId="0" borderId="2" xfId="8" applyFont="1" applyBorder="1" applyAlignment="1">
      <alignment horizontal="left" vertical="center"/>
    </xf>
    <xf numFmtId="2" fontId="19" fillId="0" borderId="2" xfId="0" applyNumberFormat="1" applyFont="1" applyBorder="1"/>
    <xf numFmtId="0" fontId="100" fillId="0" borderId="2" xfId="0" applyFont="1" applyBorder="1"/>
    <xf numFmtId="166" fontId="19" fillId="0" borderId="2" xfId="0" applyNumberFormat="1" applyFont="1" applyBorder="1"/>
    <xf numFmtId="0" fontId="19" fillId="0" borderId="2" xfId="0" applyFont="1" applyFill="1" applyBorder="1" applyAlignment="1">
      <alignment horizontal="center"/>
    </xf>
    <xf numFmtId="0" fontId="19" fillId="0" borderId="2" xfId="8" applyFont="1" applyFill="1" applyBorder="1" applyAlignment="1">
      <alignment horizontal="left" vertical="center" wrapText="1"/>
    </xf>
    <xf numFmtId="0" fontId="20" fillId="0" borderId="2" xfId="8" applyFont="1" applyBorder="1" applyAlignment="1">
      <alignment horizontal="left" vertical="center" wrapText="1"/>
    </xf>
    <xf numFmtId="2" fontId="100" fillId="0" borderId="2" xfId="0" applyNumberFormat="1" applyFont="1" applyBorder="1"/>
    <xf numFmtId="0" fontId="19" fillId="0" borderId="10" xfId="0" applyFont="1" applyFill="1" applyBorder="1"/>
    <xf numFmtId="0" fontId="19" fillId="0" borderId="0" xfId="0" applyFont="1" applyAlignment="1">
      <alignment vertical="top" wrapText="1"/>
    </xf>
    <xf numFmtId="2" fontId="17" fillId="0" borderId="2" xfId="10" applyNumberFormat="1" applyFont="1" applyBorder="1" applyAlignment="1">
      <alignment horizontal="center" vertical="top" wrapText="1"/>
    </xf>
    <xf numFmtId="14" fontId="17" fillId="0" borderId="2" xfId="10" applyNumberFormat="1" applyFont="1" applyBorder="1" applyAlignment="1">
      <alignment horizontal="center" vertical="top" wrapText="1"/>
    </xf>
    <xf numFmtId="0" fontId="19" fillId="0" borderId="5" xfId="10" applyFont="1" applyBorder="1" applyAlignment="1">
      <alignment horizontal="center" vertical="top" wrapText="1"/>
    </xf>
    <xf numFmtId="166" fontId="17" fillId="0" borderId="2" xfId="10" applyNumberFormat="1" applyFont="1" applyBorder="1" applyAlignment="1">
      <alignment horizontal="center" vertical="top" wrapText="1"/>
    </xf>
    <xf numFmtId="0" fontId="11" fillId="3" borderId="0" xfId="2" applyFont="1" applyFill="1"/>
    <xf numFmtId="0" fontId="13" fillId="0" borderId="0" xfId="2" applyFont="1"/>
    <xf numFmtId="0" fontId="70" fillId="3" borderId="2" xfId="2" applyFont="1" applyFill="1" applyBorder="1"/>
    <xf numFmtId="2" fontId="10" fillId="0" borderId="2" xfId="0" applyNumberFormat="1" applyFont="1" applyBorder="1"/>
    <xf numFmtId="2" fontId="0" fillId="0" borderId="0" xfId="0" applyNumberFormat="1"/>
    <xf numFmtId="0" fontId="103" fillId="3" borderId="2" xfId="2" applyFont="1" applyFill="1" applyBorder="1"/>
    <xf numFmtId="0" fontId="70" fillId="0" borderId="2" xfId="2" applyFont="1" applyFill="1" applyBorder="1"/>
    <xf numFmtId="0" fontId="71" fillId="0" borderId="2" xfId="2" applyFont="1" applyFill="1" applyBorder="1"/>
    <xf numFmtId="0" fontId="104" fillId="3" borderId="2" xfId="2" applyFont="1" applyFill="1" applyBorder="1"/>
    <xf numFmtId="0" fontId="71" fillId="3" borderId="2" xfId="2" applyFont="1" applyFill="1" applyBorder="1"/>
    <xf numFmtId="0" fontId="104" fillId="0" borderId="2" xfId="2" applyFont="1" applyFill="1" applyBorder="1"/>
    <xf numFmtId="0" fontId="72" fillId="3" borderId="2" xfId="2" applyFont="1" applyFill="1" applyBorder="1"/>
    <xf numFmtId="0" fontId="70" fillId="3" borderId="2" xfId="2" applyFont="1" applyFill="1" applyBorder="1" applyAlignment="1">
      <alignment wrapText="1"/>
    </xf>
    <xf numFmtId="0" fontId="104" fillId="3" borderId="2" xfId="2" applyFont="1" applyFill="1" applyBorder="1" applyAlignment="1">
      <alignment wrapText="1"/>
    </xf>
    <xf numFmtId="2" fontId="0" fillId="0" borderId="2" xfId="0" applyNumberFormat="1" applyBorder="1"/>
    <xf numFmtId="0" fontId="11" fillId="0" borderId="0" xfId="10" applyAlignment="1">
      <alignment vertical="top"/>
    </xf>
    <xf numFmtId="0" fontId="7" fillId="0" borderId="0" xfId="10" applyFont="1" applyAlignment="1">
      <alignment horizontal="right" vertical="top"/>
    </xf>
    <xf numFmtId="0" fontId="16" fillId="0" borderId="0" xfId="10" applyFont="1" applyAlignment="1">
      <alignment vertical="top"/>
    </xf>
    <xf numFmtId="0" fontId="11" fillId="0" borderId="0" xfId="10" applyAlignment="1">
      <alignment horizontal="center" vertical="top"/>
    </xf>
    <xf numFmtId="0" fontId="15" fillId="0" borderId="0" xfId="10" applyFont="1" applyAlignment="1">
      <alignment horizontal="center" vertical="top"/>
    </xf>
    <xf numFmtId="0" fontId="11" fillId="0" borderId="0" xfId="10" applyFont="1" applyAlignment="1">
      <alignment vertical="top"/>
    </xf>
    <xf numFmtId="0" fontId="6" fillId="0" borderId="0" xfId="10" applyFont="1" applyAlignment="1">
      <alignment vertical="top"/>
    </xf>
    <xf numFmtId="0" fontId="6" fillId="0" borderId="0" xfId="10" applyFont="1" applyAlignment="1">
      <alignment horizontal="right" vertical="top"/>
    </xf>
    <xf numFmtId="0" fontId="11" fillId="0" borderId="0" xfId="10" applyFont="1" applyBorder="1" applyAlignment="1">
      <alignment vertical="top"/>
    </xf>
    <xf numFmtId="0" fontId="6" fillId="0" borderId="2" xfId="10" applyFont="1" applyBorder="1" applyAlignment="1">
      <alignment horizontal="center" vertical="top" wrapText="1"/>
    </xf>
    <xf numFmtId="0" fontId="6" fillId="0" borderId="1" xfId="10" applyFont="1" applyBorder="1" applyAlignment="1">
      <alignment horizontal="center" vertical="top" wrapText="1"/>
    </xf>
    <xf numFmtId="0" fontId="6" fillId="0" borderId="1" xfId="10" applyFont="1" applyFill="1" applyBorder="1" applyAlignment="1">
      <alignment horizontal="center" vertical="top" wrapText="1"/>
    </xf>
    <xf numFmtId="0" fontId="21" fillId="0" borderId="2" xfId="10" applyFont="1" applyBorder="1" applyAlignment="1">
      <alignment horizontal="center" vertical="top"/>
    </xf>
    <xf numFmtId="0" fontId="21" fillId="0" borderId="2" xfId="10" applyFont="1" applyBorder="1" applyAlignment="1">
      <alignment horizontal="center" vertical="top" wrapText="1"/>
    </xf>
    <xf numFmtId="0" fontId="14" fillId="0" borderId="0" xfId="10" applyFont="1" applyBorder="1" applyAlignment="1">
      <alignment vertical="top"/>
    </xf>
    <xf numFmtId="0" fontId="11" fillId="0" borderId="2" xfId="10" applyBorder="1" applyAlignment="1">
      <alignment horizontal="center" vertical="top"/>
    </xf>
    <xf numFmtId="0" fontId="11" fillId="0" borderId="2" xfId="10" applyBorder="1" applyAlignment="1">
      <alignment vertical="top"/>
    </xf>
    <xf numFmtId="2" fontId="14" fillId="0" borderId="2" xfId="10" applyNumberFormat="1" applyFont="1" applyBorder="1" applyAlignment="1">
      <alignment vertical="top"/>
    </xf>
    <xf numFmtId="2" fontId="11" fillId="0" borderId="2" xfId="10" applyNumberFormat="1" applyFont="1" applyBorder="1" applyAlignment="1">
      <alignment vertical="top" wrapText="1"/>
    </xf>
    <xf numFmtId="0" fontId="11" fillId="0" borderId="5" xfId="10" applyFont="1" applyBorder="1" applyAlignment="1">
      <alignment vertical="top" wrapText="1"/>
    </xf>
    <xf numFmtId="2" fontId="11" fillId="0" borderId="5" xfId="10" applyNumberFormat="1" applyFont="1" applyBorder="1" applyAlignment="1">
      <alignment vertical="top" wrapText="1"/>
    </xf>
    <xf numFmtId="2" fontId="6" fillId="0" borderId="2" xfId="10" applyNumberFormat="1" applyFont="1" applyBorder="1" applyAlignment="1">
      <alignment vertical="top"/>
    </xf>
    <xf numFmtId="0" fontId="6" fillId="0" borderId="0" xfId="10" applyFont="1" applyBorder="1" applyAlignment="1">
      <alignment vertical="top"/>
    </xf>
    <xf numFmtId="0" fontId="6" fillId="0" borderId="0" xfId="10" applyFont="1" applyAlignment="1">
      <alignment horizontal="left" vertical="top"/>
    </xf>
    <xf numFmtId="0" fontId="11" fillId="0" borderId="0" xfId="0" applyFont="1" applyBorder="1" applyAlignment="1">
      <alignment vertical="top" wrapText="1"/>
    </xf>
    <xf numFmtId="2" fontId="6" fillId="0" borderId="2" xfId="9" applyNumberFormat="1" applyFont="1" applyBorder="1"/>
    <xf numFmtId="0" fontId="6" fillId="0" borderId="2" xfId="9" quotePrefix="1" applyFont="1" applyBorder="1" applyAlignment="1">
      <alignment horizontal="center"/>
    </xf>
    <xf numFmtId="0" fontId="6" fillId="0" borderId="2" xfId="9" quotePrefix="1" applyFont="1" applyBorder="1" applyAlignment="1">
      <alignment horizontal="left"/>
    </xf>
    <xf numFmtId="2" fontId="6" fillId="0" borderId="2" xfId="9" applyNumberFormat="1" applyFont="1" applyBorder="1" applyAlignment="1">
      <alignment vertical="center"/>
    </xf>
    <xf numFmtId="0" fontId="11" fillId="0" borderId="0" xfId="9" applyAlignment="1">
      <alignment vertical="center"/>
    </xf>
    <xf numFmtId="1" fontId="11" fillId="0" borderId="0" xfId="0" applyNumberFormat="1" applyFont="1"/>
    <xf numFmtId="2" fontId="11" fillId="3" borderId="2" xfId="0" applyNumberFormat="1" applyFont="1" applyFill="1" applyBorder="1"/>
    <xf numFmtId="0" fontId="11" fillId="0" borderId="0" xfId="14"/>
    <xf numFmtId="0" fontId="11" fillId="0" borderId="0" xfId="14" applyFont="1"/>
    <xf numFmtId="0" fontId="39" fillId="0" borderId="2" xfId="14" applyFont="1" applyBorder="1" applyAlignment="1">
      <alignment horizontal="center" vertical="top" wrapText="1"/>
    </xf>
    <xf numFmtId="0" fontId="11" fillId="0" borderId="2" xfId="2" applyFont="1" applyBorder="1" applyAlignment="1">
      <alignment horizontal="center"/>
    </xf>
    <xf numFmtId="0" fontId="17" fillId="6" borderId="2" xfId="14" applyFont="1" applyFill="1" applyBorder="1" applyAlignment="1">
      <alignment vertical="top" wrapText="1"/>
    </xf>
    <xf numFmtId="0" fontId="97" fillId="6" borderId="2" xfId="14" applyFont="1" applyFill="1" applyBorder="1" applyAlignment="1">
      <alignment horizontal="center" vertical="top" wrapText="1"/>
    </xf>
    <xf numFmtId="1" fontId="97" fillId="6" borderId="2" xfId="14" applyNumberFormat="1" applyFont="1" applyFill="1" applyBorder="1" applyAlignment="1">
      <alignment horizontal="center" vertical="top" wrapText="1"/>
    </xf>
    <xf numFmtId="0" fontId="11" fillId="0" borderId="2" xfId="14" applyBorder="1" applyAlignment="1">
      <alignment horizontal="center"/>
    </xf>
    <xf numFmtId="0" fontId="11" fillId="0" borderId="2" xfId="1" applyFont="1" applyBorder="1" applyAlignment="1">
      <alignment horizontal="center"/>
    </xf>
    <xf numFmtId="0" fontId="17" fillId="7" borderId="2" xfId="14" applyFont="1" applyFill="1" applyBorder="1" applyAlignment="1">
      <alignment vertical="top" wrapText="1"/>
    </xf>
    <xf numFmtId="0" fontId="97" fillId="7" borderId="2" xfId="14" applyFont="1" applyFill="1" applyBorder="1" applyAlignment="1">
      <alignment horizontal="center" vertical="top" wrapText="1"/>
    </xf>
    <xf numFmtId="0" fontId="17" fillId="8" borderId="2" xfId="14" applyFont="1" applyFill="1" applyBorder="1" applyAlignment="1">
      <alignment vertical="top" wrapText="1"/>
    </xf>
    <xf numFmtId="0" fontId="97" fillId="8" borderId="2" xfId="14" applyFont="1" applyFill="1" applyBorder="1" applyAlignment="1">
      <alignment horizontal="center" vertical="top" wrapText="1"/>
    </xf>
    <xf numFmtId="0" fontId="11" fillId="0" borderId="2" xfId="2" applyFont="1" applyBorder="1" applyAlignment="1">
      <alignment horizontal="center" vertical="center"/>
    </xf>
    <xf numFmtId="0" fontId="17" fillId="6" borderId="2" xfId="14" applyFont="1" applyFill="1" applyBorder="1" applyAlignment="1">
      <alignment vertical="center" wrapText="1"/>
    </xf>
    <xf numFmtId="1" fontId="11" fillId="0" borderId="2" xfId="0" applyNumberFormat="1" applyFont="1" applyFill="1" applyBorder="1" applyAlignment="1">
      <alignment horizontal="center" vertical="center" wrapText="1"/>
    </xf>
    <xf numFmtId="0" fontId="97" fillId="6" borderId="2" xfId="14" applyFont="1" applyFill="1" applyBorder="1" applyAlignment="1">
      <alignment horizontal="center" vertical="center" wrapText="1"/>
    </xf>
    <xf numFmtId="1" fontId="97" fillId="6" borderId="2" xfId="14" applyNumberFormat="1" applyFont="1" applyFill="1" applyBorder="1" applyAlignment="1">
      <alignment horizontal="center" vertical="center" wrapText="1"/>
    </xf>
    <xf numFmtId="0" fontId="11" fillId="0" borderId="2" xfId="14" applyBorder="1" applyAlignment="1">
      <alignment horizontal="center" vertical="center"/>
    </xf>
    <xf numFmtId="1" fontId="6" fillId="0" borderId="3" xfId="5" applyNumberFormat="1" applyFont="1" applyBorder="1" applyAlignment="1">
      <alignment horizontal="center"/>
    </xf>
    <xf numFmtId="1" fontId="6" fillId="0" borderId="3" xfId="2" applyNumberFormat="1" applyFont="1" applyBorder="1" applyAlignment="1">
      <alignment horizontal="center"/>
    </xf>
    <xf numFmtId="0" fontId="6" fillId="0" borderId="3" xfId="1" applyFont="1" applyBorder="1" applyAlignment="1">
      <alignment horizontal="center"/>
    </xf>
    <xf numFmtId="0" fontId="113" fillId="0" borderId="0" xfId="0" applyFont="1"/>
    <xf numFmtId="165" fontId="6" fillId="0" borderId="0" xfId="0" applyNumberFormat="1" applyFont="1"/>
    <xf numFmtId="1" fontId="10" fillId="0" borderId="2" xfId="0" applyNumberFormat="1" applyFont="1" applyBorder="1"/>
    <xf numFmtId="0" fontId="6" fillId="0" borderId="2" xfId="0" applyFont="1" applyBorder="1" applyAlignment="1">
      <alignment horizontal="center"/>
    </xf>
    <xf numFmtId="0" fontId="6" fillId="0" borderId="5" xfId="0" applyFont="1" applyBorder="1" applyAlignment="1">
      <alignment horizontal="center" vertical="center" wrapText="1"/>
    </xf>
    <xf numFmtId="0" fontId="6" fillId="0" borderId="2" xfId="0" applyFont="1" applyBorder="1" applyAlignment="1">
      <alignment horizontal="center" vertical="top" wrapText="1"/>
    </xf>
    <xf numFmtId="0" fontId="6" fillId="0" borderId="0" xfId="0" applyFont="1" applyAlignment="1">
      <alignment horizontal="left"/>
    </xf>
    <xf numFmtId="0" fontId="6" fillId="0" borderId="0" xfId="0" applyFont="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left"/>
    </xf>
    <xf numFmtId="0" fontId="0" fillId="0" borderId="0" xfId="0" applyAlignment="1">
      <alignment horizontal="center"/>
    </xf>
    <xf numFmtId="0" fontId="11" fillId="0" borderId="0" xfId="0" applyFont="1" applyAlignment="1">
      <alignment horizontal="center"/>
    </xf>
    <xf numFmtId="0" fontId="21" fillId="0" borderId="7" xfId="0" applyFont="1" applyBorder="1" applyAlignment="1">
      <alignment horizontal="center"/>
    </xf>
    <xf numFmtId="0" fontId="11" fillId="0" borderId="0" xfId="0" applyFont="1"/>
    <xf numFmtId="0" fontId="11" fillId="0" borderId="2" xfId="0" applyFont="1" applyBorder="1" applyAlignment="1">
      <alignment horizontal="center"/>
    </xf>
    <xf numFmtId="0" fontId="38" fillId="0" borderId="1" xfId="0" applyFont="1" applyBorder="1" applyAlignment="1">
      <alignment horizontal="center" vertical="top" wrapText="1"/>
    </xf>
    <xf numFmtId="0" fontId="6" fillId="0" borderId="16" xfId="1" applyFont="1" applyBorder="1" applyAlignment="1">
      <alignment horizontal="center" vertical="top" wrapText="1"/>
    </xf>
    <xf numFmtId="0" fontId="0" fillId="0" borderId="2" xfId="0" applyBorder="1" applyAlignment="1">
      <alignment horizontal="center"/>
    </xf>
    <xf numFmtId="0" fontId="0" fillId="0" borderId="0" xfId="0" applyAlignment="1">
      <alignment horizontal="center" vertical="center"/>
    </xf>
    <xf numFmtId="0" fontId="6" fillId="3" borderId="2"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2" xfId="0" applyFont="1" applyFill="1" applyBorder="1" applyAlignment="1">
      <alignment horizontal="center" vertical="center" wrapText="1"/>
    </xf>
    <xf numFmtId="0" fontId="0" fillId="0" borderId="0" xfId="0" applyAlignment="1">
      <alignment wrapText="1"/>
    </xf>
    <xf numFmtId="2" fontId="10" fillId="0" borderId="10" xfId="0" applyNumberFormat="1" applyFont="1" applyFill="1" applyBorder="1"/>
    <xf numFmtId="2" fontId="6" fillId="0" borderId="0" xfId="10" applyNumberFormat="1" applyFont="1" applyBorder="1" applyAlignment="1">
      <alignment vertical="top"/>
    </xf>
    <xf numFmtId="1" fontId="17" fillId="3" borderId="2" xfId="0" applyNumberFormat="1" applyFont="1" applyFill="1" applyBorder="1" applyAlignment="1">
      <alignment horizontal="center"/>
    </xf>
    <xf numFmtId="1" fontId="17" fillId="0" borderId="2" xfId="1" applyNumberFormat="1" applyFont="1" applyBorder="1"/>
    <xf numFmtId="2" fontId="17" fillId="0" borderId="2" xfId="1" applyNumberFormat="1" applyFont="1" applyBorder="1"/>
    <xf numFmtId="0" fontId="17" fillId="0" borderId="2" xfId="1" applyFont="1" applyBorder="1"/>
    <xf numFmtId="0" fontId="38" fillId="3" borderId="1" xfId="0" applyFont="1" applyFill="1" applyBorder="1" applyAlignment="1">
      <alignment horizontal="center" vertical="center" wrapText="1"/>
    </xf>
    <xf numFmtId="0" fontId="38" fillId="0" borderId="1" xfId="0" applyFont="1" applyBorder="1" applyAlignment="1">
      <alignment horizontal="center" vertical="center" wrapText="1"/>
    </xf>
    <xf numFmtId="1" fontId="6" fillId="0" borderId="0" xfId="0" applyNumberFormat="1" applyFont="1" applyBorder="1"/>
    <xf numFmtId="0" fontId="6" fillId="0" borderId="0" xfId="0" applyFont="1" applyAlignment="1">
      <alignment horizontal="right" vertical="center"/>
    </xf>
    <xf numFmtId="0" fontId="93" fillId="0" borderId="5" xfId="0" applyFont="1" applyBorder="1"/>
    <xf numFmtId="1" fontId="95" fillId="0" borderId="9" xfId="0" applyNumberFormat="1" applyFont="1" applyFill="1" applyBorder="1" applyAlignment="1">
      <alignment horizontal="left" vertical="center" wrapText="1"/>
    </xf>
    <xf numFmtId="0" fontId="6" fillId="0" borderId="2" xfId="0" applyFont="1" applyBorder="1" applyAlignment="1">
      <alignment horizontal="right" vertical="center"/>
    </xf>
    <xf numFmtId="0" fontId="76" fillId="0" borderId="0" xfId="0" applyFont="1" applyAlignment="1">
      <alignment horizontal="center" vertical="center"/>
    </xf>
    <xf numFmtId="0" fontId="6" fillId="0" borderId="2"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0" xfId="0" applyFont="1" applyAlignment="1">
      <alignment vertical="center"/>
    </xf>
    <xf numFmtId="0" fontId="6" fillId="0" borderId="5" xfId="0" applyFont="1" applyBorder="1" applyAlignment="1">
      <alignment vertical="center" wrapText="1"/>
    </xf>
    <xf numFmtId="0" fontId="11" fillId="0" borderId="0" xfId="0" applyFont="1" applyAlignment="1">
      <alignment horizontal="center" vertical="top" wrapText="1"/>
    </xf>
    <xf numFmtId="0" fontId="6" fillId="0" borderId="5" xfId="10" applyFont="1" applyBorder="1" applyAlignment="1">
      <alignment vertical="top" wrapText="1"/>
    </xf>
    <xf numFmtId="0" fontId="6" fillId="0" borderId="16" xfId="1" applyFont="1" applyBorder="1" applyAlignment="1">
      <alignment horizontal="center"/>
    </xf>
    <xf numFmtId="1" fontId="60" fillId="0" borderId="2" xfId="0" applyNumberFormat="1" applyFont="1" applyFill="1" applyBorder="1" applyAlignment="1">
      <alignment horizontal="center"/>
    </xf>
    <xf numFmtId="0" fontId="11" fillId="0" borderId="0" xfId="0" applyFont="1" applyAlignment="1">
      <alignment horizontal="center" vertical="center"/>
    </xf>
    <xf numFmtId="0" fontId="11" fillId="0" borderId="0" xfId="3"/>
    <xf numFmtId="0" fontId="6" fillId="0" borderId="0" xfId="3" applyFont="1" applyAlignment="1">
      <alignment horizontal="center"/>
    </xf>
    <xf numFmtId="0" fontId="11" fillId="0" borderId="2" xfId="3" applyFont="1" applyBorder="1" applyAlignment="1">
      <alignment horizontal="center"/>
    </xf>
    <xf numFmtId="0" fontId="11" fillId="0" borderId="2" xfId="3" applyFont="1" applyBorder="1"/>
    <xf numFmtId="0" fontId="11" fillId="0" borderId="5" xfId="3" applyFont="1" applyBorder="1"/>
    <xf numFmtId="0" fontId="11" fillId="0" borderId="6" xfId="3" applyFont="1" applyBorder="1"/>
    <xf numFmtId="0" fontId="6" fillId="0" borderId="2" xfId="8" applyFont="1" applyBorder="1" applyAlignment="1">
      <alignment horizontal="center" vertical="top" wrapText="1"/>
    </xf>
    <xf numFmtId="0" fontId="11" fillId="0" borderId="8" xfId="3" applyFont="1" applyBorder="1"/>
    <xf numFmtId="0" fontId="6" fillId="0" borderId="0" xfId="8" applyFont="1" applyAlignment="1">
      <alignment horizontal="left"/>
    </xf>
    <xf numFmtId="1" fontId="11" fillId="0" borderId="6" xfId="3" applyNumberFormat="1" applyFont="1" applyBorder="1"/>
    <xf numFmtId="0" fontId="6" fillId="0" borderId="2" xfId="3" applyFont="1" applyBorder="1" applyAlignment="1">
      <alignment horizontal="center"/>
    </xf>
    <xf numFmtId="0" fontId="19" fillId="0" borderId="2" xfId="8" applyFont="1" applyBorder="1" applyAlignment="1">
      <alignment horizontal="left" vertical="center"/>
    </xf>
    <xf numFmtId="0" fontId="6" fillId="0" borderId="5" xfId="3" applyFont="1" applyBorder="1" applyAlignment="1">
      <alignment horizontal="center"/>
    </xf>
    <xf numFmtId="0" fontId="6" fillId="0" borderId="6" xfId="3" applyFont="1" applyBorder="1" applyAlignment="1">
      <alignment horizontal="center"/>
    </xf>
    <xf numFmtId="0" fontId="60" fillId="0" borderId="2" xfId="0" applyFont="1" applyFill="1" applyBorder="1" applyAlignment="1">
      <alignment horizontal="center" vertical="center"/>
    </xf>
    <xf numFmtId="2" fontId="60" fillId="0" borderId="2" xfId="0" applyNumberFormat="1" applyFont="1" applyFill="1" applyBorder="1" applyAlignment="1">
      <alignment horizontal="center" vertical="center"/>
    </xf>
    <xf numFmtId="0" fontId="10" fillId="0" borderId="0" xfId="8" applyFont="1" applyAlignment="1">
      <alignment horizontal="left"/>
    </xf>
    <xf numFmtId="0" fontId="19" fillId="0" borderId="2" xfId="0" applyFont="1" applyBorder="1" applyAlignment="1">
      <alignment horizontal="left" vertical="center"/>
    </xf>
    <xf numFmtId="0" fontId="74" fillId="0" borderId="5" xfId="0" applyFont="1" applyBorder="1" applyAlignment="1">
      <alignment horizontal="center" vertical="center" wrapText="1"/>
    </xf>
    <xf numFmtId="0" fontId="89" fillId="0" borderId="2" xfId="2" applyFont="1" applyBorder="1" applyAlignment="1">
      <alignment vertical="center"/>
    </xf>
    <xf numFmtId="0" fontId="11" fillId="4" borderId="0" xfId="0" applyFont="1" applyFill="1" applyAlignment="1">
      <alignment wrapText="1"/>
    </xf>
    <xf numFmtId="0" fontId="11" fillId="4" borderId="0" xfId="0" applyFont="1" applyFill="1" applyAlignment="1">
      <alignment vertical="center"/>
    </xf>
    <xf numFmtId="0" fontId="11" fillId="0" borderId="0" xfId="0" applyFont="1"/>
    <xf numFmtId="0" fontId="6" fillId="0" borderId="0" xfId="0" applyFont="1" applyBorder="1" applyAlignment="1">
      <alignment horizontal="right"/>
    </xf>
    <xf numFmtId="0" fontId="11" fillId="0" borderId="0" xfId="3"/>
    <xf numFmtId="0" fontId="11" fillId="0" borderId="2" xfId="8" applyFont="1" applyBorder="1"/>
    <xf numFmtId="0" fontId="6" fillId="0" borderId="2" xfId="33" applyFont="1" applyBorder="1" applyAlignment="1">
      <alignment horizontal="center"/>
    </xf>
    <xf numFmtId="0" fontId="11" fillId="0" borderId="0" xfId="33" applyFont="1"/>
    <xf numFmtId="0" fontId="6" fillId="0" borderId="2" xfId="33" applyFont="1" applyBorder="1"/>
    <xf numFmtId="0" fontId="9" fillId="0" borderId="0" xfId="33" applyFont="1" applyAlignment="1"/>
    <xf numFmtId="0" fontId="9" fillId="3" borderId="0" xfId="33" applyFont="1" applyFill="1" applyAlignment="1"/>
    <xf numFmtId="0" fontId="9" fillId="0" borderId="0" xfId="33" applyFont="1" applyAlignment="1">
      <alignment horizontal="center"/>
    </xf>
    <xf numFmtId="0" fontId="6" fillId="0" borderId="2" xfId="33" applyFont="1" applyBorder="1" applyAlignment="1">
      <alignment horizontal="center" vertical="top" wrapText="1"/>
    </xf>
    <xf numFmtId="0" fontId="21" fillId="0" borderId="2" xfId="33" applyFont="1" applyBorder="1" applyAlignment="1">
      <alignment horizontal="center"/>
    </xf>
    <xf numFmtId="0" fontId="21" fillId="3" borderId="2" xfId="33" applyFont="1" applyFill="1" applyBorder="1" applyAlignment="1">
      <alignment horizontal="center"/>
    </xf>
    <xf numFmtId="2" fontId="66" fillId="0" borderId="2" xfId="33" applyNumberFormat="1" applyFont="1" applyBorder="1" applyAlignment="1">
      <alignment horizontal="right"/>
    </xf>
    <xf numFmtId="2" fontId="10" fillId="0" borderId="2" xfId="33" applyNumberFormat="1" applyFont="1" applyBorder="1" applyAlignment="1">
      <alignment horizontal="right"/>
    </xf>
    <xf numFmtId="2" fontId="66" fillId="3" borderId="2" xfId="33" applyNumberFormat="1" applyFont="1" applyFill="1" applyBorder="1" applyAlignment="1"/>
    <xf numFmtId="2" fontId="10" fillId="0" borderId="2" xfId="33" applyNumberFormat="1" applyFont="1" applyFill="1" applyBorder="1" applyAlignment="1">
      <alignment horizontal="right"/>
    </xf>
    <xf numFmtId="2" fontId="10" fillId="0" borderId="2" xfId="33" applyNumberFormat="1" applyFont="1" applyBorder="1" applyAlignment="1">
      <alignment horizontal="right" vertical="top" wrapText="1"/>
    </xf>
    <xf numFmtId="2" fontId="10" fillId="0" borderId="2" xfId="33" applyNumberFormat="1" applyFont="1" applyBorder="1" applyAlignment="1">
      <alignment horizontal="right" vertical="center" wrapText="1"/>
    </xf>
    <xf numFmtId="0" fontId="11" fillId="0" borderId="2" xfId="33" applyFont="1" applyBorder="1"/>
    <xf numFmtId="2" fontId="11" fillId="0" borderId="0" xfId="33" applyNumberFormat="1" applyFont="1"/>
    <xf numFmtId="0" fontId="11" fillId="0" borderId="2" xfId="3" applyBorder="1"/>
    <xf numFmtId="0" fontId="11" fillId="0" borderId="0" xfId="3"/>
    <xf numFmtId="0" fontId="6" fillId="0" borderId="2" xfId="3" applyFont="1" applyBorder="1" applyAlignment="1">
      <alignment horizontal="center"/>
    </xf>
    <xf numFmtId="0" fontId="6" fillId="0" borderId="2" xfId="3" applyFont="1" applyBorder="1" applyAlignment="1">
      <alignment horizontal="center" vertical="top" wrapText="1"/>
    </xf>
    <xf numFmtId="0" fontId="6" fillId="0" borderId="5" xfId="3" applyFont="1" applyBorder="1" applyAlignment="1">
      <alignment horizontal="center" vertical="top" wrapText="1"/>
    </xf>
    <xf numFmtId="0" fontId="6" fillId="0" borderId="0" xfId="3" applyFont="1"/>
    <xf numFmtId="0" fontId="11" fillId="0" borderId="0" xfId="3" applyFont="1"/>
    <xf numFmtId="0" fontId="6" fillId="0" borderId="0" xfId="3" applyFont="1" applyBorder="1" applyAlignment="1">
      <alignment horizontal="right"/>
    </xf>
    <xf numFmtId="0" fontId="11" fillId="0" borderId="2" xfId="3" applyFont="1" applyBorder="1"/>
    <xf numFmtId="0" fontId="13" fillId="0" borderId="0" xfId="3" applyFont="1" applyAlignment="1">
      <alignment horizontal="center"/>
    </xf>
    <xf numFmtId="0" fontId="6" fillId="0" borderId="2" xfId="3" applyFont="1" applyBorder="1"/>
    <xf numFmtId="0" fontId="6" fillId="0" borderId="0" xfId="3" applyFont="1" applyBorder="1"/>
    <xf numFmtId="0" fontId="6" fillId="0" borderId="0" xfId="3" applyFont="1" applyAlignment="1"/>
    <xf numFmtId="0" fontId="7" fillId="0" borderId="0" xfId="3" applyFont="1" applyAlignment="1"/>
    <xf numFmtId="0" fontId="15" fillId="0" borderId="0" xfId="3" applyFont="1" applyAlignment="1"/>
    <xf numFmtId="0" fontId="16" fillId="0" borderId="0" xfId="3" applyFont="1" applyAlignment="1"/>
    <xf numFmtId="0" fontId="21" fillId="0" borderId="7" xfId="3" applyFont="1" applyBorder="1" applyAlignment="1"/>
    <xf numFmtId="2" fontId="11" fillId="0" borderId="0" xfId="3" applyNumberFormat="1" applyFont="1"/>
    <xf numFmtId="2" fontId="6" fillId="0" borderId="0" xfId="3" applyNumberFormat="1" applyFont="1"/>
    <xf numFmtId="2" fontId="6" fillId="0" borderId="2" xfId="3" applyNumberFormat="1" applyFont="1" applyBorder="1" applyAlignment="1">
      <alignment horizontal="right" vertical="top" wrapText="1"/>
    </xf>
    <xf numFmtId="2" fontId="6" fillId="0" borderId="5" xfId="3" applyNumberFormat="1" applyFont="1" applyBorder="1" applyAlignment="1">
      <alignment horizontal="right" vertical="top" wrapText="1"/>
    </xf>
    <xf numFmtId="2" fontId="6" fillId="0" borderId="2" xfId="3" applyNumberFormat="1" applyFont="1" applyBorder="1" applyAlignment="1">
      <alignment horizontal="right"/>
    </xf>
    <xf numFmtId="0" fontId="11" fillId="0" borderId="10" xfId="3" applyFont="1" applyFill="1" applyBorder="1" applyAlignment="1">
      <alignment horizontal="center"/>
    </xf>
    <xf numFmtId="165" fontId="6" fillId="0" borderId="5" xfId="3" applyNumberFormat="1" applyFont="1" applyBorder="1" applyAlignment="1">
      <alignment horizontal="right" vertical="top" wrapText="1"/>
    </xf>
    <xf numFmtId="2" fontId="6" fillId="0" borderId="5" xfId="3" applyNumberFormat="1" applyFont="1" applyBorder="1" applyAlignment="1">
      <alignment horizontal="right"/>
    </xf>
    <xf numFmtId="2" fontId="6" fillId="0" borderId="2" xfId="3" applyNumberFormat="1" applyFont="1" applyBorder="1" applyAlignment="1">
      <alignment horizontal="center"/>
    </xf>
    <xf numFmtId="165" fontId="6" fillId="0" borderId="2" xfId="3" applyNumberFormat="1" applyFont="1" applyBorder="1" applyAlignment="1">
      <alignment horizontal="right"/>
    </xf>
    <xf numFmtId="0" fontId="6" fillId="0" borderId="2" xfId="3" applyFont="1" applyBorder="1" applyAlignment="1">
      <alignment horizontal="center"/>
    </xf>
    <xf numFmtId="0" fontId="11" fillId="0" borderId="0" xfId="3"/>
    <xf numFmtId="0" fontId="6" fillId="0" borderId="2" xfId="3" applyFont="1" applyBorder="1" applyAlignment="1">
      <alignment horizontal="center"/>
    </xf>
    <xf numFmtId="0" fontId="6" fillId="0" borderId="2" xfId="3" applyFont="1" applyBorder="1" applyAlignment="1">
      <alignment horizontal="center" vertical="top" wrapText="1"/>
    </xf>
    <xf numFmtId="0" fontId="6" fillId="0" borderId="0" xfId="3" applyFont="1" applyBorder="1" applyAlignment="1">
      <alignment horizontal="center"/>
    </xf>
    <xf numFmtId="0" fontId="10" fillId="0" borderId="0" xfId="3" applyFont="1"/>
    <xf numFmtId="0" fontId="11" fillId="0" borderId="0" xfId="3" applyFont="1" applyBorder="1"/>
    <xf numFmtId="0" fontId="13" fillId="0" borderId="0" xfId="3" applyFont="1" applyBorder="1" applyAlignment="1">
      <alignment horizontal="center"/>
    </xf>
    <xf numFmtId="0" fontId="11" fillId="0" borderId="0" xfId="3" applyFont="1" applyBorder="1" applyAlignment="1">
      <alignment horizontal="left"/>
    </xf>
    <xf numFmtId="0" fontId="6" fillId="0" borderId="0" xfId="3" applyFont="1" applyBorder="1"/>
    <xf numFmtId="0" fontId="6" fillId="0" borderId="0" xfId="3" applyFont="1" applyAlignment="1">
      <alignment horizontal="right"/>
    </xf>
    <xf numFmtId="0" fontId="11" fillId="0" borderId="0" xfId="3" applyFont="1" applyBorder="1" applyAlignment="1">
      <alignment vertical="top"/>
    </xf>
    <xf numFmtId="0" fontId="6" fillId="0" borderId="0" xfId="3" applyFont="1" applyAlignment="1"/>
    <xf numFmtId="0" fontId="6" fillId="0" borderId="2" xfId="3" applyFont="1" applyBorder="1" applyAlignment="1">
      <alignment vertical="top" wrapText="1"/>
    </xf>
    <xf numFmtId="0" fontId="11" fillId="0" borderId="0" xfId="3" applyFont="1" applyBorder="1" applyAlignment="1">
      <alignment horizontal="left" wrapText="1"/>
    </xf>
    <xf numFmtId="0" fontId="21" fillId="0" borderId="2" xfId="3" applyFont="1" applyBorder="1" applyAlignment="1">
      <alignment horizontal="center" vertical="top" wrapText="1"/>
    </xf>
    <xf numFmtId="2" fontId="11" fillId="0" borderId="0" xfId="3" applyNumberFormat="1" applyFont="1"/>
    <xf numFmtId="2" fontId="6" fillId="0" borderId="2" xfId="3" applyNumberFormat="1" applyFont="1" applyBorder="1" applyAlignment="1">
      <alignment horizontal="right"/>
    </xf>
    <xf numFmtId="0" fontId="67" fillId="3" borderId="2" xfId="41" applyFont="1" applyFill="1" applyBorder="1"/>
    <xf numFmtId="2" fontId="21" fillId="0" borderId="2" xfId="3" applyNumberFormat="1" applyFont="1" applyBorder="1" applyAlignment="1">
      <alignment horizontal="right" vertical="top" wrapText="1"/>
    </xf>
    <xf numFmtId="0" fontId="68" fillId="3" borderId="2" xfId="41" applyFont="1" applyFill="1" applyBorder="1"/>
    <xf numFmtId="0" fontId="101" fillId="3" borderId="2" xfId="41" applyFont="1" applyFill="1" applyBorder="1"/>
    <xf numFmtId="0" fontId="69" fillId="3" borderId="2" xfId="41" applyFont="1" applyFill="1" applyBorder="1"/>
    <xf numFmtId="0" fontId="102" fillId="0" borderId="2" xfId="41" applyFont="1" applyFill="1" applyBorder="1"/>
    <xf numFmtId="0" fontId="102" fillId="3" borderId="2" xfId="41" applyFont="1" applyFill="1" applyBorder="1"/>
    <xf numFmtId="2" fontId="6" fillId="0" borderId="0" xfId="3" applyNumberFormat="1" applyFont="1" applyAlignment="1">
      <alignment horizontal="right"/>
    </xf>
    <xf numFmtId="0" fontId="67" fillId="3" borderId="2" xfId="41" applyFont="1" applyFill="1" applyBorder="1" applyAlignment="1">
      <alignment wrapText="1"/>
    </xf>
    <xf numFmtId="2" fontId="21" fillId="0" borderId="2" xfId="3" applyNumberFormat="1" applyFont="1" applyBorder="1" applyAlignment="1">
      <alignment horizontal="right" wrapText="1"/>
    </xf>
    <xf numFmtId="0" fontId="102" fillId="3" borderId="2" xfId="41" applyFont="1" applyFill="1" applyBorder="1" applyAlignment="1">
      <alignment wrapText="1"/>
    </xf>
    <xf numFmtId="2" fontId="6" fillId="2" borderId="2" xfId="3" applyNumberFormat="1" applyFont="1" applyFill="1" applyBorder="1" applyAlignment="1">
      <alignment horizontal="right"/>
    </xf>
    <xf numFmtId="2" fontId="11" fillId="0" borderId="0" xfId="3" applyNumberFormat="1" applyFont="1" applyBorder="1" applyAlignment="1">
      <alignment horizontal="left" wrapText="1"/>
    </xf>
    <xf numFmtId="2" fontId="6" fillId="0" borderId="0" xfId="3" applyNumberFormat="1" applyFont="1" applyBorder="1"/>
    <xf numFmtId="1" fontId="0" fillId="0" borderId="0" xfId="0" applyNumberFormat="1"/>
    <xf numFmtId="0" fontId="11" fillId="0" borderId="2" xfId="3" applyBorder="1" applyAlignment="1">
      <alignment horizontal="center"/>
    </xf>
    <xf numFmtId="0" fontId="11" fillId="0" borderId="0" xfId="3"/>
    <xf numFmtId="0" fontId="6" fillId="0" borderId="2" xfId="3" applyFont="1" applyBorder="1" applyAlignment="1">
      <alignment horizontal="center"/>
    </xf>
    <xf numFmtId="0" fontId="6" fillId="0" borderId="2" xfId="3" applyFont="1" applyBorder="1" applyAlignment="1">
      <alignment horizontal="center" vertical="top" wrapText="1"/>
    </xf>
    <xf numFmtId="0" fontId="6" fillId="0" borderId="0" xfId="3" applyFont="1" applyBorder="1" applyAlignment="1">
      <alignment horizontal="center"/>
    </xf>
    <xf numFmtId="0" fontId="10" fillId="0" borderId="0" xfId="3" applyFont="1"/>
    <xf numFmtId="0" fontId="6" fillId="0" borderId="0" xfId="3" applyFont="1"/>
    <xf numFmtId="0" fontId="11" fillId="0" borderId="0" xfId="3" applyFont="1" applyBorder="1"/>
    <xf numFmtId="0" fontId="13" fillId="0" borderId="0" xfId="3" applyFont="1" applyBorder="1" applyAlignment="1">
      <alignment horizontal="center"/>
    </xf>
    <xf numFmtId="0" fontId="11" fillId="0" borderId="0" xfId="3" applyFont="1" applyBorder="1" applyAlignment="1">
      <alignment horizontal="left"/>
    </xf>
    <xf numFmtId="0" fontId="6" fillId="0" borderId="0" xfId="3" applyFont="1" applyBorder="1"/>
    <xf numFmtId="0" fontId="6" fillId="0" borderId="0" xfId="3" applyFont="1" applyAlignment="1">
      <alignment horizontal="right"/>
    </xf>
    <xf numFmtId="0" fontId="6" fillId="0" borderId="0" xfId="3" applyFont="1" applyAlignment="1"/>
    <xf numFmtId="0" fontId="6" fillId="0" borderId="2" xfId="3" applyFont="1" applyBorder="1" applyAlignment="1">
      <alignment vertical="top" wrapText="1"/>
    </xf>
    <xf numFmtId="0" fontId="21" fillId="0" borderId="2" xfId="3" applyFont="1" applyBorder="1" applyAlignment="1">
      <alignment horizontal="center" vertical="top" wrapText="1"/>
    </xf>
    <xf numFmtId="0" fontId="9" fillId="0" borderId="0" xfId="3" applyFont="1" applyAlignment="1"/>
    <xf numFmtId="2" fontId="11" fillId="0" borderId="0" xfId="3" applyNumberFormat="1" applyFont="1"/>
    <xf numFmtId="2" fontId="6" fillId="0" borderId="0" xfId="3" applyNumberFormat="1" applyFont="1"/>
    <xf numFmtId="2" fontId="6" fillId="0" borderId="2" xfId="3" applyNumberFormat="1" applyFont="1" applyBorder="1" applyAlignment="1">
      <alignment horizontal="right"/>
    </xf>
    <xf numFmtId="2" fontId="21" fillId="0" borderId="2" xfId="3" applyNumberFormat="1" applyFont="1" applyBorder="1" applyAlignment="1">
      <alignment horizontal="right" vertical="top" wrapText="1"/>
    </xf>
    <xf numFmtId="2" fontId="6" fillId="2" borderId="2" xfId="3" applyNumberFormat="1" applyFont="1" applyFill="1" applyBorder="1" applyAlignment="1">
      <alignment horizontal="right"/>
    </xf>
    <xf numFmtId="2" fontId="11" fillId="0" borderId="0" xfId="3" applyNumberFormat="1" applyFont="1" applyBorder="1"/>
    <xf numFmtId="0" fontId="21" fillId="0" borderId="2" xfId="3" applyFont="1" applyBorder="1" applyAlignment="1">
      <alignment horizontal="left" vertical="top" wrapText="1"/>
    </xf>
    <xf numFmtId="2" fontId="21" fillId="0" borderId="10" xfId="3" applyNumberFormat="1" applyFont="1" applyFill="1" applyBorder="1" applyAlignment="1">
      <alignment horizontal="right" vertical="top" wrapText="1"/>
    </xf>
    <xf numFmtId="0" fontId="6" fillId="0" borderId="2" xfId="3" applyFont="1" applyBorder="1" applyAlignment="1">
      <alignment horizontal="left"/>
    </xf>
    <xf numFmtId="0" fontId="6" fillId="0" borderId="2" xfId="3" applyFont="1" applyBorder="1"/>
    <xf numFmtId="0" fontId="6" fillId="0" borderId="0" xfId="3" applyFont="1" applyBorder="1"/>
    <xf numFmtId="0" fontId="11" fillId="0" borderId="0" xfId="45" applyFont="1"/>
    <xf numFmtId="0" fontId="11" fillId="0" borderId="2" xfId="45" applyFont="1" applyBorder="1"/>
    <xf numFmtId="0" fontId="11" fillId="0" borderId="2" xfId="45" applyFont="1" applyBorder="1" applyAlignment="1">
      <alignment horizontal="center"/>
    </xf>
    <xf numFmtId="1" fontId="11" fillId="0" borderId="5" xfId="3" applyNumberFormat="1" applyFont="1" applyBorder="1" applyAlignment="1">
      <alignment vertical="top" wrapText="1"/>
    </xf>
    <xf numFmtId="1" fontId="11" fillId="0" borderId="2" xfId="3" applyNumberFormat="1" applyFont="1" applyBorder="1" applyAlignment="1"/>
    <xf numFmtId="1" fontId="6" fillId="0" borderId="2" xfId="3" applyNumberFormat="1" applyFont="1" applyBorder="1"/>
    <xf numFmtId="2" fontId="11" fillId="0" borderId="2" xfId="3" applyNumberFormat="1" applyFont="1" applyBorder="1" applyAlignment="1"/>
    <xf numFmtId="0" fontId="17" fillId="0" borderId="2" xfId="3" applyFont="1" applyBorder="1" applyAlignment="1">
      <alignment horizontal="left" vertical="center" wrapText="1"/>
    </xf>
    <xf numFmtId="0" fontId="17" fillId="0" borderId="2" xfId="3" applyFont="1" applyBorder="1" applyAlignment="1">
      <alignment horizontal="left" vertical="center"/>
    </xf>
    <xf numFmtId="2" fontId="11" fillId="0" borderId="2" xfId="45" applyNumberFormat="1" applyFont="1" applyBorder="1"/>
    <xf numFmtId="2" fontId="6" fillId="0" borderId="2" xfId="3" applyNumberFormat="1" applyFont="1" applyBorder="1"/>
    <xf numFmtId="1" fontId="11" fillId="0" borderId="0" xfId="45" applyNumberFormat="1" applyFont="1"/>
    <xf numFmtId="2" fontId="11" fillId="0" borderId="5" xfId="3" applyNumberFormat="1" applyFont="1" applyBorder="1" applyAlignment="1"/>
    <xf numFmtId="0" fontId="107" fillId="3" borderId="2" xfId="0" applyFont="1" applyFill="1" applyBorder="1" applyAlignment="1">
      <alignment vertical="center"/>
    </xf>
    <xf numFmtId="0" fontId="57" fillId="3" borderId="2" xfId="0" applyFont="1" applyFill="1" applyBorder="1" applyAlignment="1">
      <alignment vertical="center"/>
    </xf>
    <xf numFmtId="0" fontId="58" fillId="3" borderId="2" xfId="0" applyFont="1" applyFill="1" applyBorder="1" applyAlignment="1">
      <alignment vertical="center"/>
    </xf>
    <xf numFmtId="0" fontId="116" fillId="0" borderId="0" xfId="0" applyFont="1"/>
    <xf numFmtId="1" fontId="116" fillId="0" borderId="0" xfId="0" applyNumberFormat="1" applyFont="1"/>
    <xf numFmtId="1" fontId="90" fillId="0" borderId="0" xfId="0" applyNumberFormat="1" applyFont="1"/>
    <xf numFmtId="0" fontId="90" fillId="0" borderId="0" xfId="0" applyFont="1"/>
    <xf numFmtId="0" fontId="91" fillId="0" borderId="2" xfId="0" applyFont="1" applyBorder="1" applyAlignment="1">
      <alignment horizontal="left" vertical="center" wrapText="1"/>
    </xf>
    <xf numFmtId="1" fontId="91" fillId="0" borderId="2" xfId="1" applyNumberFormat="1" applyFont="1" applyBorder="1"/>
    <xf numFmtId="2" fontId="91" fillId="0" borderId="2" xfId="1" applyNumberFormat="1" applyFont="1" applyBorder="1"/>
    <xf numFmtId="0" fontId="91" fillId="0" borderId="2" xfId="1" applyFont="1" applyBorder="1"/>
    <xf numFmtId="0" fontId="91" fillId="0" borderId="2" xfId="0" applyFont="1" applyBorder="1" applyAlignment="1">
      <alignment horizontal="left" vertical="center"/>
    </xf>
    <xf numFmtId="0" fontId="33" fillId="0" borderId="0" xfId="2" applyFont="1" applyAlignment="1">
      <alignment horizontal="right"/>
    </xf>
    <xf numFmtId="0" fontId="74" fillId="0" borderId="0" xfId="2" applyAlignment="1">
      <alignment horizontal="right"/>
    </xf>
    <xf numFmtId="0" fontId="74" fillId="0" borderId="0" xfId="2" applyBorder="1" applyAlignment="1">
      <alignment horizontal="right"/>
    </xf>
    <xf numFmtId="0" fontId="6" fillId="0" borderId="0" xfId="0" applyFont="1" applyBorder="1" applyAlignment="1">
      <alignment horizontal="right" vertical="top" wrapText="1"/>
    </xf>
    <xf numFmtId="2" fontId="61" fillId="0" borderId="0" xfId="0" applyNumberFormat="1" applyFont="1" applyFill="1" applyBorder="1" applyAlignment="1">
      <alignment horizontal="right"/>
    </xf>
    <xf numFmtId="2" fontId="61" fillId="0" borderId="0" xfId="0" applyNumberFormat="1" applyFont="1" applyFill="1" applyBorder="1" applyAlignment="1">
      <alignment horizontal="center"/>
    </xf>
    <xf numFmtId="0" fontId="61" fillId="0" borderId="0" xfId="0" applyFont="1" applyFill="1" applyBorder="1" applyAlignment="1">
      <alignment horizontal="center"/>
    </xf>
    <xf numFmtId="1" fontId="74" fillId="0" borderId="0" xfId="2" applyNumberFormat="1"/>
    <xf numFmtId="0" fontId="6" fillId="0" borderId="2" xfId="12" applyFont="1" applyBorder="1" applyAlignment="1">
      <alignment horizontal="center" vertical="center" wrapText="1"/>
    </xf>
    <xf numFmtId="0" fontId="6" fillId="0" borderId="3" xfId="12" applyFont="1" applyBorder="1" applyAlignment="1">
      <alignment horizontal="center" vertical="center" wrapText="1"/>
    </xf>
    <xf numFmtId="0" fontId="92" fillId="0" borderId="2" xfId="0" applyFont="1" applyBorder="1" applyAlignment="1">
      <alignment horizontal="center"/>
    </xf>
    <xf numFmtId="0" fontId="11" fillId="0" borderId="2" xfId="51" applyFont="1" applyBorder="1" applyAlignment="1">
      <alignment horizontal="center"/>
    </xf>
    <xf numFmtId="0" fontId="17" fillId="0" borderId="2" xfId="12" applyFont="1" applyBorder="1" applyAlignment="1">
      <alignment horizontal="left" vertical="center" wrapText="1"/>
    </xf>
    <xf numFmtId="0" fontId="90" fillId="0" borderId="2" xfId="51" applyFont="1" applyBorder="1"/>
    <xf numFmtId="1" fontId="11" fillId="0" borderId="2" xfId="51" applyNumberFormat="1" applyFont="1" applyBorder="1"/>
    <xf numFmtId="1" fontId="11" fillId="0" borderId="0" xfId="51" applyNumberFormat="1" applyFont="1"/>
    <xf numFmtId="0" fontId="11" fillId="0" borderId="0" xfId="51" applyFont="1"/>
    <xf numFmtId="1" fontId="11" fillId="0" borderId="5" xfId="51" applyNumberFormat="1" applyFont="1" applyBorder="1"/>
    <xf numFmtId="0" fontId="17" fillId="0" borderId="2" xfId="12" applyFont="1" applyBorder="1" applyAlignment="1">
      <alignment horizontal="left" vertical="center"/>
    </xf>
    <xf numFmtId="0" fontId="11" fillId="0" borderId="2" xfId="12" applyBorder="1" applyAlignment="1">
      <alignment horizontal="center"/>
    </xf>
    <xf numFmtId="0" fontId="11" fillId="0" borderId="2" xfId="12" applyBorder="1"/>
    <xf numFmtId="1" fontId="90" fillId="0" borderId="2" xfId="12" applyNumberFormat="1" applyFont="1" applyBorder="1" applyAlignment="1"/>
    <xf numFmtId="0" fontId="91" fillId="0" borderId="2" xfId="12" applyFont="1" applyBorder="1" applyAlignment="1">
      <alignment horizontal="center"/>
    </xf>
    <xf numFmtId="1" fontId="17" fillId="0" borderId="2" xfId="51" applyNumberFormat="1" applyFont="1" applyBorder="1"/>
    <xf numFmtId="1" fontId="6" fillId="0" borderId="2" xfId="51" applyNumberFormat="1" applyFont="1" applyBorder="1"/>
    <xf numFmtId="0" fontId="17" fillId="0" borderId="0" xfId="12" applyFont="1" applyBorder="1" applyAlignment="1">
      <alignment horizontal="center"/>
    </xf>
    <xf numFmtId="0" fontId="6" fillId="0" borderId="1" xfId="12" applyFont="1" applyBorder="1" applyAlignment="1">
      <alignment vertical="center" wrapText="1"/>
    </xf>
    <xf numFmtId="0" fontId="19" fillId="0" borderId="0" xfId="0" applyFont="1" applyAlignment="1">
      <alignment horizontal="center" vertical="top" wrapText="1"/>
    </xf>
    <xf numFmtId="0" fontId="10" fillId="0" borderId="0" xfId="0" applyFont="1" applyAlignment="1">
      <alignment vertical="top" wrapText="1"/>
    </xf>
    <xf numFmtId="0" fontId="6" fillId="0" borderId="0" xfId="0" applyFont="1" applyAlignment="1">
      <alignment vertical="top" wrapText="1"/>
    </xf>
    <xf numFmtId="0" fontId="11" fillId="0" borderId="0" xfId="0" applyFont="1"/>
    <xf numFmtId="0" fontId="6" fillId="0" borderId="0" xfId="0" applyFont="1" applyAlignment="1">
      <alignment horizontal="center" vertical="top" wrapText="1"/>
    </xf>
    <xf numFmtId="0" fontId="0" fillId="0" borderId="0" xfId="0" applyBorder="1" applyAlignment="1">
      <alignment horizontal="center"/>
    </xf>
    <xf numFmtId="0" fontId="11" fillId="0" borderId="0" xfId="0" applyFont="1"/>
    <xf numFmtId="0" fontId="6" fillId="0" borderId="0" xfId="2" applyFont="1" applyAlignment="1">
      <alignment vertical="center"/>
    </xf>
    <xf numFmtId="0" fontId="0" fillId="0" borderId="0" xfId="0"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wrapText="1"/>
    </xf>
    <xf numFmtId="1" fontId="10" fillId="0" borderId="0" xfId="0" applyNumberFormat="1" applyFont="1" applyBorder="1" applyAlignment="1">
      <alignment horizontal="center" vertical="center"/>
    </xf>
    <xf numFmtId="0" fontId="92" fillId="0" borderId="0" xfId="0" applyFont="1" applyBorder="1"/>
    <xf numFmtId="0" fontId="84" fillId="0" borderId="1" xfId="0" applyFont="1" applyBorder="1" applyAlignment="1">
      <alignment horizontal="center"/>
    </xf>
    <xf numFmtId="0" fontId="84" fillId="0" borderId="1" xfId="0" applyFont="1" applyBorder="1"/>
    <xf numFmtId="0" fontId="92" fillId="0" borderId="1" xfId="0" applyFont="1" applyBorder="1"/>
    <xf numFmtId="0" fontId="62" fillId="3" borderId="0" xfId="0" applyFont="1" applyFill="1" applyBorder="1" applyAlignment="1">
      <alignment horizontal="center" vertical="center"/>
    </xf>
    <xf numFmtId="0" fontId="11" fillId="3" borderId="0" xfId="0" applyFont="1" applyFill="1" applyAlignment="1">
      <alignment vertical="center"/>
    </xf>
    <xf numFmtId="0" fontId="62" fillId="3" borderId="0" xfId="0" applyFont="1" applyFill="1" applyBorder="1" applyAlignment="1">
      <alignment horizontal="center"/>
    </xf>
    <xf numFmtId="0" fontId="25" fillId="0" borderId="0" xfId="2" applyFont="1" applyBorder="1" applyAlignment="1">
      <alignment horizontal="center" vertical="top" wrapText="1"/>
    </xf>
    <xf numFmtId="0" fontId="11" fillId="0" borderId="0" xfId="0" applyFont="1"/>
    <xf numFmtId="0" fontId="6" fillId="0" borderId="2" xfId="8" applyFont="1" applyBorder="1" applyAlignment="1">
      <alignment horizontal="center" vertical="top" wrapText="1"/>
    </xf>
    <xf numFmtId="0" fontId="6" fillId="0" borderId="0" xfId="8" applyFont="1" applyAlignment="1">
      <alignment horizontal="left"/>
    </xf>
    <xf numFmtId="0" fontId="10" fillId="0" borderId="0" xfId="8" applyFont="1" applyBorder="1" applyAlignment="1">
      <alignment horizontal="center" vertical="center"/>
    </xf>
    <xf numFmtId="0" fontId="10" fillId="0" borderId="0" xfId="8" applyFont="1" applyBorder="1" applyAlignment="1">
      <alignment vertical="center"/>
    </xf>
    <xf numFmtId="0" fontId="114" fillId="0" borderId="2" xfId="8" applyFont="1" applyBorder="1" applyAlignment="1">
      <alignment vertical="center"/>
    </xf>
    <xf numFmtId="0" fontId="11" fillId="0" borderId="3" xfId="8" applyFont="1" applyBorder="1" applyAlignment="1"/>
    <xf numFmtId="0" fontId="10" fillId="0" borderId="2" xfId="8" applyFont="1" applyBorder="1" applyAlignment="1">
      <alignment vertical="center"/>
    </xf>
    <xf numFmtId="0" fontId="19" fillId="0" borderId="2" xfId="8" applyFont="1" applyBorder="1" applyAlignment="1">
      <alignment vertical="center"/>
    </xf>
    <xf numFmtId="0" fontId="119" fillId="0" borderId="2" xfId="8" applyFont="1" applyBorder="1" applyAlignment="1">
      <alignment vertical="center"/>
    </xf>
    <xf numFmtId="0" fontId="43" fillId="0" borderId="2" xfId="8" applyFont="1" applyBorder="1" applyAlignment="1">
      <alignment vertical="center"/>
    </xf>
    <xf numFmtId="0" fontId="11" fillId="0" borderId="2" xfId="8" applyFont="1" applyBorder="1" applyAlignment="1"/>
    <xf numFmtId="0" fontId="10" fillId="0" borderId="2" xfId="8" applyFont="1" applyBorder="1" applyAlignment="1">
      <alignment horizontal="center" vertical="top" wrapText="1"/>
    </xf>
    <xf numFmtId="0" fontId="10" fillId="0" borderId="2" xfId="8" applyFont="1" applyBorder="1" applyAlignment="1">
      <alignment vertical="top" wrapText="1"/>
    </xf>
    <xf numFmtId="2" fontId="10" fillId="0" borderId="2" xfId="8" applyNumberFormat="1" applyFont="1" applyBorder="1" applyAlignment="1">
      <alignment vertical="center"/>
    </xf>
    <xf numFmtId="2" fontId="11" fillId="0" borderId="0" xfId="8" applyNumberFormat="1" applyFont="1" applyBorder="1"/>
    <xf numFmtId="2" fontId="11" fillId="0" borderId="0" xfId="0" applyNumberFormat="1" applyFont="1"/>
    <xf numFmtId="2" fontId="10" fillId="0" borderId="0" xfId="8" applyNumberFormat="1" applyFont="1" applyBorder="1" applyAlignment="1">
      <alignment vertical="center"/>
    </xf>
    <xf numFmtId="0" fontId="10" fillId="0" borderId="0" xfId="8" applyFont="1" applyBorder="1" applyAlignment="1">
      <alignment horizontal="center" vertical="top" wrapText="1"/>
    </xf>
    <xf numFmtId="0" fontId="120" fillId="0" borderId="0" xfId="8" applyFont="1" applyBorder="1" applyAlignment="1"/>
    <xf numFmtId="0" fontId="119" fillId="0" borderId="0" xfId="8" applyFont="1" applyBorder="1" applyAlignment="1">
      <alignment horizontal="center"/>
    </xf>
    <xf numFmtId="0" fontId="93" fillId="3" borderId="5" xfId="0" applyFont="1" applyFill="1" applyBorder="1" applyAlignment="1">
      <alignment horizontal="center" vertical="center" wrapText="1"/>
    </xf>
    <xf numFmtId="0" fontId="11" fillId="0" borderId="0" xfId="0" applyFont="1"/>
    <xf numFmtId="0" fontId="6" fillId="0" borderId="0" xfId="2" applyFont="1" applyAlignment="1">
      <alignment horizontal="center"/>
    </xf>
    <xf numFmtId="2" fontId="11" fillId="0" borderId="0" xfId="9" applyNumberFormat="1"/>
    <xf numFmtId="0" fontId="19" fillId="0" borderId="0" xfId="0" applyFont="1" applyAlignment="1">
      <alignment horizontal="center"/>
    </xf>
    <xf numFmtId="0" fontId="44" fillId="0" borderId="0" xfId="0" applyFont="1" applyAlignment="1">
      <alignment horizont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9" fontId="0" fillId="0" borderId="5" xfId="0" applyNumberFormat="1" applyBorder="1" applyAlignment="1">
      <alignment horizontal="center"/>
    </xf>
    <xf numFmtId="0" fontId="0" fillId="0" borderId="6" xfId="0" applyBorder="1" applyAlignment="1">
      <alignment horizontal="center"/>
    </xf>
    <xf numFmtId="0" fontId="10" fillId="0" borderId="0" xfId="0" applyFont="1" applyAlignment="1">
      <alignment horizontal="center" vertical="top"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9" fillId="0" borderId="0" xfId="0" applyFont="1" applyBorder="1" applyAlignment="1">
      <alignment horizontal="left" wrapText="1"/>
    </xf>
    <xf numFmtId="0" fontId="19" fillId="0" borderId="2" xfId="0" applyFont="1" applyBorder="1" applyAlignment="1">
      <alignment horizontal="center"/>
    </xf>
    <xf numFmtId="0" fontId="19" fillId="0" borderId="2" xfId="0" applyFont="1" applyBorder="1" applyAlignment="1">
      <alignment horizontal="center" wrapText="1"/>
    </xf>
    <xf numFmtId="0" fontId="19" fillId="0" borderId="1" xfId="0" applyFont="1" applyBorder="1" applyAlignment="1">
      <alignment horizontal="center" vertical="top" wrapText="1"/>
    </xf>
    <xf numFmtId="0" fontId="19" fillId="0" borderId="3" xfId="0" applyFont="1" applyBorder="1" applyAlignment="1">
      <alignment horizontal="center" vertical="top"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6" xfId="0" applyFont="1" applyFill="1" applyBorder="1" applyAlignment="1">
      <alignment horizontal="left" vertical="center" wrapText="1"/>
    </xf>
    <xf numFmtId="2" fontId="6" fillId="0" borderId="5"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2" fontId="11" fillId="0" borderId="12" xfId="0" applyNumberFormat="1" applyFont="1" applyBorder="1" applyAlignment="1">
      <alignment horizontal="center" vertical="center"/>
    </xf>
    <xf numFmtId="2" fontId="11" fillId="0" borderId="14" xfId="0" applyNumberFormat="1" applyFont="1" applyBorder="1" applyAlignment="1">
      <alignment horizontal="center" vertical="center"/>
    </xf>
    <xf numFmtId="2" fontId="11" fillId="0" borderId="8" xfId="0" applyNumberFormat="1" applyFont="1" applyBorder="1" applyAlignment="1">
      <alignment horizontal="center" vertical="center"/>
    </xf>
    <xf numFmtId="2" fontId="11" fillId="0" borderId="13" xfId="0" applyNumberFormat="1"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2" fontId="11" fillId="0" borderId="2" xfId="0" applyNumberFormat="1" applyFont="1" applyBorder="1" applyAlignment="1">
      <alignment horizontal="center" vertical="center"/>
    </xf>
    <xf numFmtId="2" fontId="11" fillId="0" borderId="5"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6" fillId="0" borderId="2" xfId="0" applyFont="1" applyBorder="1" applyAlignment="1">
      <alignment horizontal="center" vertical="top" wrapText="1"/>
    </xf>
    <xf numFmtId="0" fontId="21" fillId="0" borderId="2" xfId="0" quotePrefix="1" applyFont="1" applyBorder="1" applyAlignment="1">
      <alignment horizontal="center" vertical="top" wrapText="1"/>
    </xf>
    <xf numFmtId="1" fontId="11" fillId="0" borderId="2" xfId="0" applyNumberFormat="1" applyFont="1" applyBorder="1" applyAlignment="1">
      <alignment horizontal="center"/>
    </xf>
    <xf numFmtId="1" fontId="6" fillId="0" borderId="2" xfId="0" applyNumberFormat="1" applyFont="1" applyBorder="1" applyAlignment="1">
      <alignment horizontal="center"/>
    </xf>
    <xf numFmtId="0" fontId="6" fillId="0" borderId="5" xfId="0" applyFont="1" applyBorder="1" applyAlignment="1">
      <alignment horizontal="left"/>
    </xf>
    <xf numFmtId="0" fontId="6" fillId="0" borderId="9" xfId="0" applyFont="1" applyBorder="1" applyAlignment="1">
      <alignment horizontal="left"/>
    </xf>
    <xf numFmtId="0" fontId="6" fillId="0" borderId="6" xfId="0" applyFont="1" applyBorder="1" applyAlignment="1">
      <alignment horizontal="left"/>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0" xfId="0" applyFont="1" applyAlignment="1">
      <alignment horizontal="left"/>
    </xf>
    <xf numFmtId="1" fontId="11" fillId="0" borderId="5" xfId="0" applyNumberFormat="1" applyFont="1" applyBorder="1" applyAlignment="1">
      <alignment horizontal="center"/>
    </xf>
    <xf numFmtId="1" fontId="11" fillId="0" borderId="6" xfId="0" applyNumberFormat="1" applyFont="1" applyBorder="1" applyAlignment="1">
      <alignment horizontal="center"/>
    </xf>
    <xf numFmtId="0" fontId="6" fillId="0" borderId="0" xfId="0" applyFont="1" applyBorder="1" applyAlignment="1">
      <alignment horizontal="left"/>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left" vertical="top" wrapText="1"/>
    </xf>
    <xf numFmtId="0" fontId="6" fillId="0" borderId="9" xfId="0" applyFont="1" applyBorder="1" applyAlignment="1">
      <alignment horizontal="center" vertical="top" wrapText="1"/>
    </xf>
    <xf numFmtId="0" fontId="6" fillId="0" borderId="5" xfId="0" applyFont="1" applyBorder="1" applyAlignment="1">
      <alignment horizontal="left" vertical="center"/>
    </xf>
    <xf numFmtId="0" fontId="6" fillId="0" borderId="9"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0" borderId="14" xfId="0" applyFont="1" applyBorder="1" applyAlignment="1">
      <alignment horizontal="center" vertical="top"/>
    </xf>
    <xf numFmtId="0" fontId="6" fillId="0" borderId="8" xfId="0" applyFont="1" applyBorder="1" applyAlignment="1">
      <alignment horizontal="center" vertical="top"/>
    </xf>
    <xf numFmtId="0" fontId="6" fillId="0" borderId="7" xfId="0" applyFont="1" applyBorder="1" applyAlignment="1">
      <alignment horizontal="center" vertical="top"/>
    </xf>
    <xf numFmtId="0" fontId="6" fillId="0" borderId="13" xfId="0" applyFont="1" applyBorder="1" applyAlignment="1">
      <alignment horizontal="center" vertical="top"/>
    </xf>
    <xf numFmtId="0" fontId="18" fillId="0" borderId="0" xfId="0" applyFont="1" applyAlignment="1">
      <alignment horizontal="right"/>
    </xf>
    <xf numFmtId="0" fontId="10" fillId="0" borderId="0" xfId="0" applyFont="1" applyAlignment="1">
      <alignment horizontal="center"/>
    </xf>
    <xf numFmtId="0" fontId="15"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6" fillId="0" borderId="2" xfId="0" applyFont="1" applyBorder="1" applyAlignment="1">
      <alignment horizontal="center" vertical="top"/>
    </xf>
    <xf numFmtId="0" fontId="21" fillId="0" borderId="5" xfId="0" quotePrefix="1" applyFont="1" applyBorder="1" applyAlignment="1">
      <alignment horizontal="center" vertical="top" wrapText="1"/>
    </xf>
    <xf numFmtId="0" fontId="21" fillId="0" borderId="6" xfId="0" quotePrefix="1" applyFont="1" applyBorder="1" applyAlignment="1">
      <alignment horizontal="center" vertical="top" wrapText="1"/>
    </xf>
    <xf numFmtId="0" fontId="21" fillId="0" borderId="9" xfId="0" quotePrefix="1" applyFont="1" applyBorder="1" applyAlignment="1">
      <alignment horizontal="center" vertical="top" wrapText="1"/>
    </xf>
    <xf numFmtId="0" fontId="6" fillId="0" borderId="2" xfId="0" applyFont="1" applyBorder="1" applyAlignment="1">
      <alignment horizontal="center" vertical="center"/>
    </xf>
    <xf numFmtId="0" fontId="6" fillId="0" borderId="5"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11" fillId="0" borderId="0" xfId="0" applyFont="1" applyBorder="1" applyAlignment="1">
      <alignment horizontal="center"/>
    </xf>
    <xf numFmtId="0" fontId="6" fillId="0" borderId="0" xfId="0" applyFont="1" applyBorder="1" applyAlignment="1">
      <alignment horizontal="left" vertical="top" wrapText="1"/>
    </xf>
    <xf numFmtId="0" fontId="6" fillId="0" borderId="2" xfId="0" applyFont="1" applyBorder="1" applyAlignment="1">
      <alignment horizontal="left"/>
    </xf>
    <xf numFmtId="0" fontId="19" fillId="0" borderId="0" xfId="0" applyFont="1" applyAlignment="1">
      <alignment horizontal="left"/>
    </xf>
    <xf numFmtId="0" fontId="19" fillId="0" borderId="0" xfId="0" applyFont="1" applyAlignment="1">
      <alignment horizontal="left" vertical="top" wrapText="1"/>
    </xf>
    <xf numFmtId="0" fontId="19" fillId="0" borderId="1" xfId="0" applyFont="1" applyBorder="1" applyAlignment="1">
      <alignment vertical="top"/>
    </xf>
    <xf numFmtId="0" fontId="19" fillId="0" borderId="3" xfId="0" applyFont="1" applyBorder="1" applyAlignment="1">
      <alignment vertical="top"/>
    </xf>
    <xf numFmtId="0" fontId="19" fillId="0" borderId="0" xfId="0" applyFont="1" applyAlignment="1">
      <alignment horizontal="center" vertical="top" wrapText="1"/>
    </xf>
    <xf numFmtId="0" fontId="19" fillId="0" borderId="12" xfId="0" applyFont="1" applyBorder="1" applyAlignment="1">
      <alignment horizontal="center" vertical="top"/>
    </xf>
    <xf numFmtId="0" fontId="19" fillId="0" borderId="16" xfId="0" applyFont="1" applyBorder="1" applyAlignment="1">
      <alignment horizontal="center" vertical="top"/>
    </xf>
    <xf numFmtId="0" fontId="19" fillId="0" borderId="14" xfId="0" applyFont="1" applyBorder="1" applyAlignment="1">
      <alignment horizontal="center" vertical="top"/>
    </xf>
    <xf numFmtId="0" fontId="19" fillId="0" borderId="8" xfId="0" applyFont="1" applyBorder="1" applyAlignment="1">
      <alignment horizontal="center" vertical="top"/>
    </xf>
    <xf numFmtId="0" fontId="19" fillId="0" borderId="7" xfId="0" applyFont="1" applyBorder="1" applyAlignment="1">
      <alignment horizontal="center" vertical="top"/>
    </xf>
    <xf numFmtId="0" fontId="19" fillId="0" borderId="13" xfId="0" applyFont="1" applyBorder="1" applyAlignment="1">
      <alignment horizontal="center" vertical="top"/>
    </xf>
    <xf numFmtId="0" fontId="19" fillId="0" borderId="5" xfId="0" applyFont="1" applyBorder="1" applyAlignment="1">
      <alignment horizontal="center"/>
    </xf>
    <xf numFmtId="0" fontId="19" fillId="0" borderId="9" xfId="0" applyFont="1" applyBorder="1" applyAlignment="1">
      <alignment horizontal="center"/>
    </xf>
    <xf numFmtId="0" fontId="19" fillId="0" borderId="6" xfId="0" applyFont="1" applyBorder="1" applyAlignment="1">
      <alignment horizontal="center"/>
    </xf>
    <xf numFmtId="0" fontId="19" fillId="0" borderId="12" xfId="0" applyFont="1" applyBorder="1" applyAlignment="1">
      <alignment horizontal="center"/>
    </xf>
    <xf numFmtId="0" fontId="19" fillId="0" borderId="16" xfId="0" applyFont="1" applyBorder="1" applyAlignment="1">
      <alignment horizontal="center"/>
    </xf>
    <xf numFmtId="0" fontId="19" fillId="0" borderId="14" xfId="0" applyFont="1" applyBorder="1" applyAlignment="1">
      <alignment horizontal="center"/>
    </xf>
    <xf numFmtId="0" fontId="76" fillId="0" borderId="7" xfId="0" applyFont="1" applyBorder="1" applyAlignment="1">
      <alignment horizontal="center"/>
    </xf>
    <xf numFmtId="0" fontId="19" fillId="0" borderId="12" xfId="0" applyFont="1" applyBorder="1" applyAlignment="1">
      <alignment horizontal="center" vertical="top" wrapText="1"/>
    </xf>
    <xf numFmtId="0" fontId="19" fillId="0" borderId="16" xfId="0" applyFont="1" applyBorder="1" applyAlignment="1">
      <alignment horizontal="center" vertical="top" wrapText="1"/>
    </xf>
    <xf numFmtId="0" fontId="19" fillId="0" borderId="8" xfId="0" applyFont="1" applyBorder="1" applyAlignment="1">
      <alignment horizontal="center" vertical="top" wrapText="1"/>
    </xf>
    <xf numFmtId="0" fontId="19" fillId="0" borderId="7" xfId="0" applyFont="1" applyBorder="1" applyAlignment="1">
      <alignment horizontal="center" vertical="top" wrapText="1"/>
    </xf>
    <xf numFmtId="0" fontId="20" fillId="0" borderId="0" xfId="0" applyFont="1" applyAlignment="1">
      <alignment horizontal="center"/>
    </xf>
    <xf numFmtId="0" fontId="16" fillId="0" borderId="5" xfId="10" applyFont="1" applyBorder="1" applyAlignment="1">
      <alignment horizontal="center" vertical="top" wrapText="1"/>
    </xf>
    <xf numFmtId="0" fontId="16" fillId="0" borderId="6" xfId="10" applyFont="1" applyBorder="1" applyAlignment="1">
      <alignment horizontal="center" vertical="top" wrapText="1"/>
    </xf>
    <xf numFmtId="0" fontId="17" fillId="0" borderId="0" xfId="10" applyFont="1" applyAlignment="1">
      <alignment horizontal="left"/>
    </xf>
    <xf numFmtId="0" fontId="10" fillId="0" borderId="0" xfId="8" applyFont="1" applyAlignment="1">
      <alignment horizontal="right" vertical="top" wrapText="1"/>
    </xf>
    <xf numFmtId="0" fontId="19" fillId="0" borderId="2" xfId="10" applyFont="1" applyBorder="1" applyAlignment="1">
      <alignment horizontal="center" vertical="center" wrapText="1"/>
    </xf>
    <xf numFmtId="0" fontId="19" fillId="0" borderId="2" xfId="10" applyFont="1" applyBorder="1" applyAlignment="1">
      <alignment horizontal="center" vertical="top" wrapText="1"/>
    </xf>
    <xf numFmtId="0" fontId="15" fillId="0" borderId="0" xfId="8" applyFont="1" applyAlignment="1">
      <alignment horizontal="center"/>
    </xf>
    <xf numFmtId="0" fontId="9" fillId="0" borderId="0" xfId="8" applyFont="1" applyAlignment="1">
      <alignment horizontal="center"/>
    </xf>
    <xf numFmtId="0" fontId="19" fillId="0" borderId="12" xfId="10" applyFont="1" applyBorder="1" applyAlignment="1">
      <alignment horizontal="center" vertical="top" wrapText="1"/>
    </xf>
    <xf numFmtId="0" fontId="19" fillId="0" borderId="16" xfId="10" applyFont="1" applyBorder="1" applyAlignment="1">
      <alignment horizontal="center" vertical="top" wrapText="1"/>
    </xf>
    <xf numFmtId="0" fontId="19" fillId="0" borderId="14" xfId="10" applyFont="1" applyBorder="1" applyAlignment="1">
      <alignment horizontal="center" vertical="top" wrapText="1"/>
    </xf>
    <xf numFmtId="0" fontId="19" fillId="0" borderId="8" xfId="10" applyFont="1" applyBorder="1" applyAlignment="1">
      <alignment horizontal="center" vertical="top" wrapText="1"/>
    </xf>
    <xf numFmtId="0" fontId="19" fillId="0" borderId="7" xfId="10" applyFont="1" applyBorder="1" applyAlignment="1">
      <alignment horizontal="center" vertical="top" wrapText="1"/>
    </xf>
    <xf numFmtId="0" fontId="19" fillId="0" borderId="13" xfId="10" applyFont="1" applyBorder="1" applyAlignment="1">
      <alignment horizontal="center" vertical="top" wrapText="1"/>
    </xf>
    <xf numFmtId="0" fontId="19" fillId="0" borderId="1" xfId="10" applyFont="1" applyBorder="1" applyAlignment="1">
      <alignment horizontal="center" vertical="center" wrapText="1"/>
    </xf>
    <xf numFmtId="0" fontId="19" fillId="0" borderId="10" xfId="10" applyFont="1" applyBorder="1" applyAlignment="1">
      <alignment horizontal="center" vertical="center" wrapText="1"/>
    </xf>
    <xf numFmtId="0" fontId="19" fillId="0" borderId="3" xfId="10" applyFont="1" applyBorder="1" applyAlignment="1">
      <alignment horizontal="center" vertical="center" wrapText="1"/>
    </xf>
    <xf numFmtId="0" fontId="19" fillId="0" borderId="12" xfId="10" applyFont="1" applyBorder="1" applyAlignment="1">
      <alignment horizontal="center" vertical="center" wrapText="1"/>
    </xf>
    <xf numFmtId="0" fontId="19" fillId="0" borderId="16" xfId="10" applyFont="1" applyBorder="1" applyAlignment="1">
      <alignment horizontal="center" vertical="center" wrapText="1"/>
    </xf>
    <xf numFmtId="0" fontId="19" fillId="0" borderId="14" xfId="10" applyFont="1" applyBorder="1" applyAlignment="1">
      <alignment horizontal="center" vertical="center" wrapText="1"/>
    </xf>
    <xf numFmtId="0" fontId="19" fillId="0" borderId="8" xfId="10" applyFont="1" applyBorder="1" applyAlignment="1">
      <alignment horizontal="center" vertical="center" wrapText="1"/>
    </xf>
    <xf numFmtId="0" fontId="19" fillId="0" borderId="7" xfId="10" applyFont="1" applyBorder="1" applyAlignment="1">
      <alignment horizontal="center" vertical="center" wrapText="1"/>
    </xf>
    <xf numFmtId="0" fontId="19" fillId="0" borderId="13" xfId="10" applyFont="1" applyBorder="1" applyAlignment="1">
      <alignment horizontal="center" vertical="center" wrapText="1"/>
    </xf>
    <xf numFmtId="0" fontId="30" fillId="0" borderId="0" xfId="8" applyFont="1" applyAlignment="1">
      <alignment horizontal="center"/>
    </xf>
    <xf numFmtId="0" fontId="34" fillId="0" borderId="0" xfId="8" applyFont="1" applyAlignment="1">
      <alignment horizontal="center"/>
    </xf>
    <xf numFmtId="0" fontId="6" fillId="0" borderId="0" xfId="10" applyFont="1" applyAlignment="1">
      <alignment horizontal="left"/>
    </xf>
    <xf numFmtId="0" fontId="21" fillId="0" borderId="7" xfId="1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5" fillId="0" borderId="0" xfId="0" applyFont="1" applyAlignment="1">
      <alignment horizontal="center" wrapText="1"/>
    </xf>
    <xf numFmtId="0" fontId="21" fillId="0" borderId="7" xfId="0" applyFont="1" applyBorder="1" applyAlignment="1">
      <alignment horizontal="right"/>
    </xf>
    <xf numFmtId="0" fontId="21" fillId="0" borderId="0" xfId="0" applyFont="1" applyBorder="1" applyAlignment="1">
      <alignment horizontal="center"/>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9" xfId="0" applyFont="1" applyBorder="1" applyAlignment="1">
      <alignment horizontal="center"/>
    </xf>
    <xf numFmtId="0" fontId="6" fillId="0" borderId="4" xfId="0" applyFont="1" applyBorder="1" applyAlignment="1">
      <alignment horizontal="center"/>
    </xf>
    <xf numFmtId="0" fontId="7" fillId="0" borderId="0" xfId="0" applyFont="1" applyAlignment="1">
      <alignment horizontal="center"/>
    </xf>
    <xf numFmtId="0" fontId="0" fillId="0" borderId="0" xfId="0" applyAlignment="1">
      <alignment horizontal="center"/>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Alignment="1">
      <alignment horizontal="left" vertical="top" wrapText="1"/>
    </xf>
    <xf numFmtId="0" fontId="16" fillId="0" borderId="0" xfId="0" applyFont="1" applyAlignment="1">
      <alignment horizontal="center"/>
    </xf>
    <xf numFmtId="0" fontId="9" fillId="0" borderId="0" xfId="0" applyFont="1" applyAlignment="1">
      <alignment horizontal="center" wrapText="1"/>
    </xf>
    <xf numFmtId="0" fontId="6" fillId="0" borderId="6" xfId="0" applyFont="1" applyBorder="1" applyAlignment="1">
      <alignment horizontal="center" vertical="top"/>
    </xf>
    <xf numFmtId="0" fontId="6" fillId="0" borderId="9" xfId="0" applyFont="1" applyBorder="1" applyAlignment="1">
      <alignment horizontal="center" wrapText="1"/>
    </xf>
    <xf numFmtId="0" fontId="21" fillId="0" borderId="7" xfId="0" applyFont="1" applyBorder="1" applyAlignment="1">
      <alignment horizontal="center"/>
    </xf>
    <xf numFmtId="0" fontId="6" fillId="0" borderId="5" xfId="0" applyFont="1" applyBorder="1" applyAlignment="1">
      <alignment horizontal="center" vertical="top"/>
    </xf>
    <xf numFmtId="0" fontId="0" fillId="0" borderId="0" xfId="0" applyBorder="1" applyAlignment="1">
      <alignment horizontal="center" wrapText="1"/>
    </xf>
    <xf numFmtId="0" fontId="16" fillId="0" borderId="2" xfId="0" applyFont="1" applyBorder="1" applyAlignment="1">
      <alignment horizontal="center"/>
    </xf>
    <xf numFmtId="0" fontId="45" fillId="0" borderId="0" xfId="0" applyFont="1" applyAlignment="1">
      <alignment horizontal="center"/>
    </xf>
    <xf numFmtId="0" fontId="46" fillId="0" borderId="0" xfId="0" applyFont="1" applyBorder="1" applyAlignment="1">
      <alignment horizontal="left"/>
    </xf>
    <xf numFmtId="0" fontId="6" fillId="0" borderId="0" xfId="0" applyFont="1" applyBorder="1" applyAlignment="1">
      <alignment horizontal="center" wrapText="1"/>
    </xf>
    <xf numFmtId="0" fontId="11" fillId="0" borderId="0" xfId="0" applyFont="1"/>
    <xf numFmtId="0" fontId="6" fillId="0" borderId="0" xfId="0" applyFont="1" applyAlignment="1">
      <alignment horizontal="center" vertical="top" wrapText="1"/>
    </xf>
    <xf numFmtId="0" fontId="53" fillId="0" borderId="12" xfId="0" applyFont="1" applyBorder="1" applyAlignment="1">
      <alignment horizontal="center"/>
    </xf>
    <xf numFmtId="0" fontId="53" fillId="0" borderId="16" xfId="0" applyFont="1" applyBorder="1" applyAlignment="1">
      <alignment horizontal="center"/>
    </xf>
    <xf numFmtId="0" fontId="53" fillId="0" borderId="14" xfId="0" applyFont="1" applyBorder="1" applyAlignment="1">
      <alignment horizontal="center"/>
    </xf>
    <xf numFmtId="0" fontId="53" fillId="0" borderId="11" xfId="0" applyFont="1" applyBorder="1" applyAlignment="1">
      <alignment horizontal="center"/>
    </xf>
    <xf numFmtId="0" fontId="53" fillId="0" borderId="0" xfId="0" applyFont="1" applyBorder="1" applyAlignment="1">
      <alignment horizontal="center"/>
    </xf>
    <xf numFmtId="0" fontId="53" fillId="0" borderId="15" xfId="0" applyFont="1" applyBorder="1" applyAlignment="1">
      <alignment horizontal="center"/>
    </xf>
    <xf numFmtId="0" fontId="53" fillId="0" borderId="8" xfId="0" applyFont="1" applyBorder="1" applyAlignment="1">
      <alignment horizontal="center"/>
    </xf>
    <xf numFmtId="0" fontId="53" fillId="0" borderId="7" xfId="0" applyFont="1" applyBorder="1" applyAlignment="1">
      <alignment horizontal="center"/>
    </xf>
    <xf numFmtId="0" fontId="53" fillId="0" borderId="13" xfId="0" applyFont="1" applyBorder="1" applyAlignment="1">
      <alignment horizontal="center"/>
    </xf>
    <xf numFmtId="0" fontId="6" fillId="0" borderId="5" xfId="3" applyFont="1" applyBorder="1" applyAlignment="1">
      <alignment horizontal="center"/>
    </xf>
    <xf numFmtId="0" fontId="6" fillId="0" borderId="6" xfId="3" applyFont="1" applyBorder="1" applyAlignment="1">
      <alignment horizontal="center"/>
    </xf>
    <xf numFmtId="0" fontId="6" fillId="0" borderId="0" xfId="0" applyFont="1" applyBorder="1" applyAlignment="1">
      <alignment horizontal="right"/>
    </xf>
    <xf numFmtId="0" fontId="18" fillId="0" borderId="0" xfId="3" applyFont="1" applyAlignment="1">
      <alignment horizontal="left"/>
    </xf>
    <xf numFmtId="0" fontId="16" fillId="0" borderId="0" xfId="3" applyFont="1" applyAlignment="1">
      <alignment horizontal="center"/>
    </xf>
    <xf numFmtId="0" fontId="8" fillId="0" borderId="0" xfId="3" applyFont="1" applyAlignment="1">
      <alignment horizontal="center"/>
    </xf>
    <xf numFmtId="0" fontId="9" fillId="0" borderId="0" xfId="3" applyFont="1" applyAlignment="1">
      <alignment horizontal="center" wrapText="1"/>
    </xf>
    <xf numFmtId="0" fontId="6" fillId="0" borderId="0" xfId="3" applyFont="1" applyBorder="1" applyAlignment="1">
      <alignment horizontal="right"/>
    </xf>
    <xf numFmtId="0" fontId="6" fillId="0" borderId="0" xfId="3" applyFont="1" applyAlignment="1">
      <alignment horizontal="left"/>
    </xf>
    <xf numFmtId="0" fontId="21" fillId="0" borderId="7" xfId="3" applyFont="1" applyBorder="1" applyAlignment="1">
      <alignment horizontal="center"/>
    </xf>
    <xf numFmtId="0" fontId="11" fillId="0" borderId="0" xfId="3" applyFont="1" applyAlignment="1">
      <alignment horizontal="center"/>
    </xf>
    <xf numFmtId="0" fontId="6" fillId="0" borderId="5" xfId="3" applyFont="1" applyBorder="1" applyAlignment="1">
      <alignment horizontal="center" vertical="top" wrapText="1"/>
    </xf>
    <xf numFmtId="0" fontId="6" fillId="0" borderId="9" xfId="3" applyFont="1" applyBorder="1" applyAlignment="1">
      <alignment horizontal="center" vertical="top" wrapText="1"/>
    </xf>
    <xf numFmtId="0" fontId="6" fillId="0" borderId="6" xfId="3" applyFont="1" applyBorder="1" applyAlignment="1">
      <alignment horizontal="center" vertical="top" wrapText="1"/>
    </xf>
    <xf numFmtId="0" fontId="6" fillId="0" borderId="2" xfId="3" applyFont="1" applyBorder="1" applyAlignment="1">
      <alignment horizontal="center" vertical="top" wrapText="1"/>
    </xf>
    <xf numFmtId="0" fontId="6" fillId="0" borderId="2" xfId="33" applyFont="1" applyBorder="1" applyAlignment="1">
      <alignment horizontal="center" vertical="top" wrapText="1"/>
    </xf>
    <xf numFmtId="0" fontId="6" fillId="0" borderId="1" xfId="33" applyFont="1" applyBorder="1" applyAlignment="1">
      <alignment horizontal="center" vertical="top" wrapText="1"/>
    </xf>
    <xf numFmtId="0" fontId="6" fillId="0" borderId="10" xfId="33" applyFont="1" applyBorder="1" applyAlignment="1">
      <alignment horizontal="center" vertical="top" wrapText="1"/>
    </xf>
    <xf numFmtId="0" fontId="6" fillId="0" borderId="3" xfId="33" applyFont="1" applyBorder="1" applyAlignment="1">
      <alignment horizontal="center" vertical="top" wrapText="1"/>
    </xf>
    <xf numFmtId="0" fontId="6" fillId="0" borderId="2" xfId="33" applyFont="1" applyBorder="1" applyAlignment="1">
      <alignment horizontal="center" vertical="center" wrapText="1"/>
    </xf>
    <xf numFmtId="0" fontId="6" fillId="3" borderId="1" xfId="33" applyFont="1" applyFill="1" applyBorder="1" applyAlignment="1">
      <alignment horizontal="center" vertical="top" wrapText="1"/>
    </xf>
    <xf numFmtId="0" fontId="6" fillId="3" borderId="10" xfId="33" applyFont="1" applyFill="1" applyBorder="1" applyAlignment="1">
      <alignment horizontal="center" vertical="top" wrapText="1"/>
    </xf>
    <xf numFmtId="0" fontId="6" fillId="3" borderId="3" xfId="33" applyFont="1" applyFill="1" applyBorder="1" applyAlignment="1">
      <alignment horizontal="center" vertical="top" wrapText="1"/>
    </xf>
    <xf numFmtId="0" fontId="21" fillId="0" borderId="7" xfId="3" applyFont="1" applyBorder="1" applyAlignment="1">
      <alignment horizontal="right"/>
    </xf>
    <xf numFmtId="0" fontId="18" fillId="0" borderId="0" xfId="3" applyFont="1" applyAlignment="1">
      <alignment horizontal="center"/>
    </xf>
    <xf numFmtId="0" fontId="10" fillId="0" borderId="0" xfId="33" applyFont="1" applyAlignment="1">
      <alignment horizontal="center"/>
    </xf>
    <xf numFmtId="0" fontId="15" fillId="0" borderId="0" xfId="33" applyFont="1" applyAlignment="1">
      <alignment horizontal="center"/>
    </xf>
    <xf numFmtId="0" fontId="12" fillId="0" borderId="0" xfId="33" applyFont="1" applyBorder="1" applyAlignment="1">
      <alignment horizontal="left"/>
    </xf>
    <xf numFmtId="0" fontId="11" fillId="0" borderId="0" xfId="0" applyFont="1" applyAlignment="1">
      <alignment horizontal="center"/>
    </xf>
    <xf numFmtId="0" fontId="11" fillId="0" borderId="16" xfId="0" applyFont="1" applyBorder="1" applyAlignment="1">
      <alignment horizontal="center"/>
    </xf>
    <xf numFmtId="0" fontId="11" fillId="0" borderId="14" xfId="0" applyFont="1" applyBorder="1" applyAlignment="1">
      <alignment horizontal="center"/>
    </xf>
    <xf numFmtId="0" fontId="11" fillId="0" borderId="11" xfId="0" applyFont="1" applyBorder="1" applyAlignment="1">
      <alignment horizontal="center"/>
    </xf>
    <xf numFmtId="0" fontId="11" fillId="0" borderId="15"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11" fillId="0" borderId="13" xfId="0" applyFont="1" applyBorder="1" applyAlignment="1">
      <alignment horizontal="center"/>
    </xf>
    <xf numFmtId="0" fontId="18" fillId="0" borderId="0" xfId="0" applyFont="1" applyAlignment="1">
      <alignment horizontal="left"/>
    </xf>
    <xf numFmtId="0" fontId="8" fillId="0" borderId="0" xfId="0" applyFont="1" applyAlignment="1">
      <alignment horizontal="center"/>
    </xf>
    <xf numFmtId="0" fontId="11" fillId="0" borderId="0" xfId="3" applyFont="1" applyBorder="1" applyAlignment="1">
      <alignment horizontal="left" vertical="top" wrapText="1"/>
    </xf>
    <xf numFmtId="0" fontId="7" fillId="0" borderId="0" xfId="3" applyFont="1" applyAlignment="1">
      <alignment horizontal="center"/>
    </xf>
    <xf numFmtId="0" fontId="15" fillId="0" borderId="0" xfId="3" applyFont="1" applyAlignment="1">
      <alignment horizontal="center"/>
    </xf>
    <xf numFmtId="0" fontId="6" fillId="0" borderId="1" xfId="3" applyFont="1" applyBorder="1" applyAlignment="1">
      <alignment horizontal="center" vertical="top" wrapText="1"/>
    </xf>
    <xf numFmtId="0" fontId="6" fillId="0" borderId="3" xfId="3" applyFont="1" applyBorder="1" applyAlignment="1">
      <alignment horizontal="center" vertical="top" wrapText="1"/>
    </xf>
    <xf numFmtId="0" fontId="6" fillId="0" borderId="12" xfId="3" applyFont="1" applyBorder="1" applyAlignment="1">
      <alignment horizontal="center" vertical="top" wrapText="1"/>
    </xf>
    <xf numFmtId="0" fontId="6" fillId="0" borderId="16" xfId="3" applyFont="1" applyBorder="1" applyAlignment="1">
      <alignment horizontal="center" vertical="top" wrapText="1"/>
    </xf>
    <xf numFmtId="0" fontId="6" fillId="0" borderId="14" xfId="3" applyFont="1" applyBorder="1" applyAlignment="1">
      <alignment horizontal="center" vertical="top" wrapText="1"/>
    </xf>
    <xf numFmtId="0" fontId="6" fillId="0" borderId="5" xfId="3" applyFont="1" applyFill="1" applyBorder="1" applyAlignment="1">
      <alignment horizontal="center" vertical="top" wrapText="1"/>
    </xf>
    <xf numFmtId="0" fontId="6" fillId="0" borderId="9" xfId="3" applyFont="1" applyFill="1" applyBorder="1" applyAlignment="1">
      <alignment horizontal="center" vertical="top" wrapText="1"/>
    </xf>
    <xf numFmtId="0" fontId="6" fillId="0" borderId="6" xfId="3" applyFont="1" applyFill="1" applyBorder="1" applyAlignment="1">
      <alignment horizontal="center" vertical="top" wrapText="1"/>
    </xf>
    <xf numFmtId="0" fontId="6" fillId="0" borderId="0" xfId="3" applyFont="1" applyAlignment="1">
      <alignment horizontal="center"/>
    </xf>
    <xf numFmtId="0" fontId="9" fillId="0" borderId="0" xfId="3" applyFont="1" applyAlignment="1">
      <alignment horizontal="center"/>
    </xf>
    <xf numFmtId="0" fontId="6" fillId="0" borderId="9" xfId="0" applyFont="1" applyBorder="1" applyAlignment="1">
      <alignment horizontal="center" vertical="top"/>
    </xf>
    <xf numFmtId="0" fontId="6" fillId="0" borderId="12" xfId="0" applyFont="1" applyBorder="1" applyAlignment="1">
      <alignment horizontal="center" vertical="top" wrapText="1"/>
    </xf>
    <xf numFmtId="0" fontId="6" fillId="0" borderId="16" xfId="0" applyFont="1" applyBorder="1" applyAlignment="1">
      <alignment horizontal="center" vertical="top" wrapText="1"/>
    </xf>
    <xf numFmtId="0" fontId="6" fillId="0" borderId="14" xfId="0" applyFont="1" applyBorder="1" applyAlignment="1">
      <alignment horizontal="center" vertical="top" wrapText="1"/>
    </xf>
    <xf numFmtId="0" fontId="6" fillId="0" borderId="1" xfId="0" applyFont="1" applyBorder="1" applyAlignment="1">
      <alignment horizontal="center" vertical="top"/>
    </xf>
    <xf numFmtId="0" fontId="6" fillId="0" borderId="3" xfId="0" applyFont="1" applyBorder="1" applyAlignment="1">
      <alignment horizontal="center" vertical="top"/>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7" fillId="0" borderId="0" xfId="0" applyFont="1" applyAlignment="1">
      <alignment horizontal="right"/>
    </xf>
    <xf numFmtId="0" fontId="10" fillId="0" borderId="0" xfId="0" applyFont="1" applyAlignment="1">
      <alignment horizontal="left"/>
    </xf>
    <xf numFmtId="0" fontId="6" fillId="0" borderId="0" xfId="0" applyFont="1" applyAlignment="1">
      <alignment horizontal="right"/>
    </xf>
    <xf numFmtId="0" fontId="53" fillId="0" borderId="12" xfId="0" applyFont="1" applyBorder="1" applyAlignment="1">
      <alignment horizontal="center" vertical="center"/>
    </xf>
    <xf numFmtId="0" fontId="53" fillId="0" borderId="16" xfId="0" applyFont="1" applyBorder="1" applyAlignment="1">
      <alignment horizontal="center" vertical="center"/>
    </xf>
    <xf numFmtId="0" fontId="53" fillId="0" borderId="14" xfId="0" applyFont="1" applyBorder="1" applyAlignment="1">
      <alignment horizontal="center" vertical="center"/>
    </xf>
    <xf numFmtId="0" fontId="53" fillId="0" borderId="11" xfId="0" applyFont="1" applyBorder="1" applyAlignment="1">
      <alignment horizontal="center" vertical="center"/>
    </xf>
    <xf numFmtId="0" fontId="53" fillId="0" borderId="0" xfId="0" applyFont="1" applyBorder="1" applyAlignment="1">
      <alignment horizontal="center" vertical="center"/>
    </xf>
    <xf numFmtId="0" fontId="53" fillId="0" borderId="15" xfId="0" applyFont="1" applyBorder="1" applyAlignment="1">
      <alignment horizontal="center" vertical="center"/>
    </xf>
    <xf numFmtId="0" fontId="53" fillId="0" borderId="8" xfId="0" applyFont="1" applyBorder="1" applyAlignment="1">
      <alignment horizontal="center" vertical="center"/>
    </xf>
    <xf numFmtId="0" fontId="53" fillId="0" borderId="7" xfId="0" applyFont="1" applyBorder="1" applyAlignment="1">
      <alignment horizontal="center" vertical="center"/>
    </xf>
    <xf numFmtId="0" fontId="53" fillId="0" borderId="13" xfId="0" applyFont="1" applyBorder="1" applyAlignment="1">
      <alignment horizontal="center" vertical="center"/>
    </xf>
    <xf numFmtId="0" fontId="73" fillId="0" borderId="0" xfId="0" applyFont="1" applyAlignment="1">
      <alignment horizontal="center" vertical="center"/>
    </xf>
    <xf numFmtId="0" fontId="6" fillId="0" borderId="5" xfId="10" applyFont="1" applyBorder="1" applyAlignment="1">
      <alignment horizontal="center" vertical="top"/>
    </xf>
    <xf numFmtId="0" fontId="6" fillId="0" borderId="6" xfId="10" applyFont="1" applyBorder="1" applyAlignment="1">
      <alignment horizontal="center" vertical="top"/>
    </xf>
    <xf numFmtId="0" fontId="15" fillId="0" borderId="0" xfId="10" applyFont="1" applyAlignment="1">
      <alignment horizontal="center" vertical="top"/>
    </xf>
    <xf numFmtId="0" fontId="12" fillId="0" borderId="0" xfId="10" applyFont="1" applyAlignment="1">
      <alignment horizontal="center" vertical="top" wrapText="1"/>
    </xf>
    <xf numFmtId="0" fontId="21" fillId="0" borderId="7" xfId="10" applyFont="1" applyBorder="1" applyAlignment="1">
      <alignment horizontal="right" vertical="top"/>
    </xf>
    <xf numFmtId="0" fontId="11" fillId="0" borderId="2" xfId="0" applyFont="1" applyBorder="1" applyAlignment="1">
      <alignment horizontal="center" vertical="center" wrapText="1"/>
    </xf>
    <xf numFmtId="0" fontId="11" fillId="0" borderId="2" xfId="0" applyFont="1" applyBorder="1" applyAlignment="1">
      <alignment horizont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6" fillId="0" borderId="2" xfId="8" applyFont="1" applyBorder="1" applyAlignment="1">
      <alignment horizontal="center" vertical="center" wrapText="1"/>
    </xf>
    <xf numFmtId="0" fontId="10" fillId="0" borderId="5" xfId="8" applyFont="1" applyBorder="1" applyAlignment="1">
      <alignment horizontal="center" vertical="center"/>
    </xf>
    <xf numFmtId="0" fontId="10" fillId="0" borderId="9" xfId="8" applyFont="1" applyBorder="1" applyAlignment="1">
      <alignment horizontal="center" vertical="center"/>
    </xf>
    <xf numFmtId="0" fontId="10" fillId="0" borderId="6" xfId="8" applyFont="1" applyBorder="1" applyAlignment="1">
      <alignment horizontal="center" vertical="center"/>
    </xf>
    <xf numFmtId="0" fontId="12" fillId="0" borderId="0" xfId="8" applyFont="1" applyAlignment="1">
      <alignment horizontal="center" wrapText="1"/>
    </xf>
    <xf numFmtId="0" fontId="21" fillId="0" borderId="0" xfId="8" applyFont="1" applyBorder="1" applyAlignment="1">
      <alignment horizontal="right"/>
    </xf>
    <xf numFmtId="0" fontId="42" fillId="0" borderId="0" xfId="0" applyFont="1" applyAlignment="1">
      <alignment horizontal="center"/>
    </xf>
    <xf numFmtId="0" fontId="84" fillId="0" borderId="0" xfId="0" applyFont="1" applyBorder="1" applyAlignment="1">
      <alignment horizontal="center" vertical="top"/>
    </xf>
    <xf numFmtId="0" fontId="79" fillId="0" borderId="2" xfId="0" applyFont="1" applyBorder="1" applyAlignment="1">
      <alignment horizontal="center" vertical="center" wrapText="1"/>
    </xf>
    <xf numFmtId="0" fontId="21" fillId="0" borderId="7" xfId="0" applyFont="1" applyBorder="1" applyAlignment="1">
      <alignment horizontal="left"/>
    </xf>
    <xf numFmtId="0" fontId="79" fillId="0" borderId="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 xfId="0" applyFont="1" applyBorder="1" applyAlignment="1">
      <alignment horizontal="center" vertical="center" wrapText="1"/>
    </xf>
    <xf numFmtId="0" fontId="54" fillId="0" borderId="2" xfId="0" applyFont="1" applyBorder="1" applyAlignment="1">
      <alignment horizontal="center" vertical="center" wrapText="1"/>
    </xf>
    <xf numFmtId="0" fontId="38" fillId="0" borderId="2" xfId="0" applyFont="1" applyBorder="1" applyAlignment="1">
      <alignment horizontal="center" vertical="top" wrapText="1"/>
    </xf>
    <xf numFmtId="0" fontId="38" fillId="0" borderId="5" xfId="0" applyFont="1" applyBorder="1" applyAlignment="1">
      <alignment horizontal="center" vertical="top" wrapText="1"/>
    </xf>
    <xf numFmtId="0" fontId="38" fillId="0" borderId="9" xfId="0" applyFont="1" applyBorder="1" applyAlignment="1">
      <alignment horizontal="center" vertical="top" wrapText="1"/>
    </xf>
    <xf numFmtId="0" fontId="38" fillId="0" borderId="6" xfId="0" applyFont="1" applyBorder="1" applyAlignment="1">
      <alignment horizontal="center" vertical="top" wrapText="1"/>
    </xf>
    <xf numFmtId="0" fontId="38" fillId="0" borderId="1" xfId="0" applyFont="1" applyBorder="1" applyAlignment="1">
      <alignment horizontal="center" vertical="top" wrapText="1"/>
    </xf>
    <xf numFmtId="0" fontId="38" fillId="0" borderId="3" xfId="0" applyFont="1" applyBorder="1" applyAlignment="1">
      <alignment horizontal="center" vertical="top" wrapText="1"/>
    </xf>
    <xf numFmtId="0" fontId="6" fillId="0" borderId="0" xfId="1" applyFont="1" applyAlignment="1">
      <alignment horizontal="center" vertical="top" wrapText="1"/>
    </xf>
    <xf numFmtId="0" fontId="6" fillId="3" borderId="1" xfId="1" quotePrefix="1" applyFont="1" applyFill="1" applyBorder="1" applyAlignment="1">
      <alignment horizontal="center" vertical="center" wrapText="1"/>
    </xf>
    <xf numFmtId="0" fontId="6" fillId="3" borderId="3" xfId="1" quotePrefix="1" applyFont="1" applyFill="1" applyBorder="1" applyAlignment="1">
      <alignment horizontal="center" vertical="center" wrapText="1"/>
    </xf>
    <xf numFmtId="0" fontId="6" fillId="3" borderId="5" xfId="1" quotePrefix="1" applyFont="1" applyFill="1" applyBorder="1" applyAlignment="1">
      <alignment horizontal="center" vertical="center" wrapText="1"/>
    </xf>
    <xf numFmtId="0" fontId="6" fillId="3" borderId="9" xfId="1" quotePrefix="1" applyFont="1" applyFill="1" applyBorder="1" applyAlignment="1">
      <alignment horizontal="center" vertical="center" wrapText="1"/>
    </xf>
    <xf numFmtId="0" fontId="6" fillId="3" borderId="6" xfId="1" quotePrefix="1" applyFont="1" applyFill="1" applyBorder="1" applyAlignment="1">
      <alignment horizontal="center" vertical="center" wrapText="1"/>
    </xf>
    <xf numFmtId="0" fontId="10" fillId="0" borderId="0" xfId="1" applyFont="1" applyAlignment="1">
      <alignment horizontal="center"/>
    </xf>
    <xf numFmtId="0" fontId="15" fillId="0" borderId="0" xfId="1" applyFont="1" applyAlignment="1">
      <alignment horizontal="center"/>
    </xf>
    <xf numFmtId="0" fontId="9" fillId="0" borderId="0" xfId="1" applyFont="1" applyAlignment="1">
      <alignment horizontal="center"/>
    </xf>
    <xf numFmtId="0" fontId="9" fillId="0" borderId="0" xfId="1" applyFont="1" applyAlignment="1"/>
    <xf numFmtId="0" fontId="6" fillId="0" borderId="0" xfId="1" applyFont="1" applyAlignment="1">
      <alignment horizontal="left"/>
    </xf>
    <xf numFmtId="0" fontId="6" fillId="0" borderId="7" xfId="1" applyFont="1" applyBorder="1" applyAlignment="1">
      <alignment horizontal="center"/>
    </xf>
    <xf numFmtId="0" fontId="6" fillId="0" borderId="5" xfId="1" applyFont="1" applyBorder="1" applyAlignment="1">
      <alignment horizontal="left" vertical="center"/>
    </xf>
    <xf numFmtId="0" fontId="6" fillId="0" borderId="9" xfId="1" applyFont="1" applyBorder="1" applyAlignment="1">
      <alignment horizontal="left" vertical="center"/>
    </xf>
    <xf numFmtId="0" fontId="6" fillId="0" borderId="6" xfId="1" applyFont="1" applyBorder="1" applyAlignment="1">
      <alignment horizontal="left" vertical="center"/>
    </xf>
    <xf numFmtId="1" fontId="10" fillId="0" borderId="5" xfId="0" applyNumberFormat="1" applyFont="1" applyBorder="1" applyAlignment="1">
      <alignment horizontal="center" vertical="center"/>
    </xf>
    <xf numFmtId="1" fontId="10" fillId="0" borderId="6" xfId="0" applyNumberFormat="1" applyFont="1" applyBorder="1" applyAlignment="1">
      <alignment horizontal="center" vertical="center"/>
    </xf>
    <xf numFmtId="0" fontId="38" fillId="0" borderId="0" xfId="0" applyFont="1" applyBorder="1" applyAlignment="1">
      <alignment horizontal="left"/>
    </xf>
    <xf numFmtId="0" fontId="90" fillId="0" borderId="2" xfId="11" applyFont="1" applyBorder="1" applyAlignment="1">
      <alignment horizontal="center" vertical="center" wrapText="1"/>
    </xf>
    <xf numFmtId="0" fontId="90" fillId="0" borderId="1" xfId="11" applyFont="1" applyBorder="1" applyAlignment="1">
      <alignment horizontal="center" vertical="center" wrapText="1"/>
    </xf>
    <xf numFmtId="0" fontId="6" fillId="0" borderId="2" xfId="1" applyFont="1" applyBorder="1" applyAlignment="1">
      <alignment horizontal="center" vertical="center"/>
    </xf>
    <xf numFmtId="0" fontId="65" fillId="0" borderId="0" xfId="11" applyAlignment="1">
      <alignment horizontal="center" vertical="center"/>
    </xf>
    <xf numFmtId="0" fontId="38" fillId="0" borderId="1" xfId="11" applyFont="1" applyBorder="1" applyAlignment="1">
      <alignment horizontal="center" vertical="center" wrapText="1"/>
    </xf>
    <xf numFmtId="0" fontId="38" fillId="0" borderId="10" xfId="11" applyFont="1" applyBorder="1" applyAlignment="1">
      <alignment horizontal="center" vertical="center" wrapText="1"/>
    </xf>
    <xf numFmtId="0" fontId="38" fillId="0" borderId="3" xfId="11" applyFont="1" applyBorder="1" applyAlignment="1">
      <alignment horizontal="center" vertical="center" wrapText="1"/>
    </xf>
    <xf numFmtId="0" fontId="90" fillId="0" borderId="10" xfId="11" applyFont="1" applyBorder="1" applyAlignment="1">
      <alignment horizontal="center" vertical="center" wrapText="1"/>
    </xf>
    <xf numFmtId="0" fontId="21" fillId="0" borderId="7" xfId="11" applyFont="1" applyBorder="1" applyAlignment="1">
      <alignment horizontal="center" vertical="center"/>
    </xf>
    <xf numFmtId="0" fontId="76" fillId="0" borderId="0" xfId="11" applyFont="1" applyAlignment="1">
      <alignment horizontal="right" vertical="center"/>
    </xf>
    <xf numFmtId="0" fontId="35" fillId="0" borderId="0" xfId="11" applyFont="1" applyAlignment="1">
      <alignment horizontal="center" vertical="center"/>
    </xf>
    <xf numFmtId="0" fontId="36" fillId="0" borderId="0" xfId="11" applyFont="1" applyAlignment="1">
      <alignment horizontal="center" vertical="center"/>
    </xf>
    <xf numFmtId="0" fontId="35" fillId="0" borderId="0" xfId="11" applyFont="1" applyAlignment="1">
      <alignment horizontal="center" vertical="center" wrapText="1"/>
    </xf>
    <xf numFmtId="0" fontId="11" fillId="0" borderId="0" xfId="0" applyFont="1" applyFill="1" applyBorder="1" applyAlignment="1">
      <alignment horizontal="left"/>
    </xf>
    <xf numFmtId="0" fontId="0" fillId="0" borderId="0" xfId="0" applyFill="1" applyBorder="1" applyAlignment="1">
      <alignment horizontal="left"/>
    </xf>
    <xf numFmtId="0" fontId="16" fillId="0" borderId="7" xfId="0" applyFont="1" applyBorder="1" applyAlignment="1">
      <alignment horizontal="center"/>
    </xf>
    <xf numFmtId="0" fontId="20" fillId="0" borderId="0" xfId="0" applyFont="1" applyAlignment="1">
      <alignment horizontal="center" wrapText="1"/>
    </xf>
    <xf numFmtId="0" fontId="17" fillId="0" borderId="5" xfId="0" applyFont="1" applyBorder="1" applyAlignment="1">
      <alignment horizontal="center"/>
    </xf>
    <xf numFmtId="0" fontId="17" fillId="0" borderId="6" xfId="0" applyFont="1" applyBorder="1" applyAlignment="1">
      <alignment horizontal="center"/>
    </xf>
    <xf numFmtId="0" fontId="11" fillId="0" borderId="0" xfId="12" applyAlignment="1">
      <alignment horizontal="center"/>
    </xf>
    <xf numFmtId="0" fontId="6" fillId="0" borderId="5" xfId="12" applyFont="1" applyBorder="1" applyAlignment="1">
      <alignment horizontal="center" vertical="center" wrapText="1"/>
    </xf>
    <xf numFmtId="0" fontId="6" fillId="0" borderId="6" xfId="12" applyFont="1" applyBorder="1" applyAlignment="1">
      <alignment horizontal="center" vertical="center" wrapText="1"/>
    </xf>
    <xf numFmtId="0" fontId="10" fillId="0" borderId="0" xfId="12" applyFont="1" applyAlignment="1">
      <alignment horizontal="right" vertical="top" wrapText="1"/>
    </xf>
    <xf numFmtId="0" fontId="6" fillId="0" borderId="0" xfId="12" applyFont="1" applyAlignment="1">
      <alignment horizontal="left"/>
    </xf>
    <xf numFmtId="0" fontId="6" fillId="0" borderId="0" xfId="12" applyFont="1" applyAlignment="1">
      <alignment horizontal="right"/>
    </xf>
    <xf numFmtId="0" fontId="16" fillId="0" borderId="0" xfId="12" applyFont="1" applyAlignment="1">
      <alignment horizontal="center"/>
    </xf>
    <xf numFmtId="0" fontId="7" fillId="0" borderId="0" xfId="12" applyFont="1" applyAlignment="1">
      <alignment horizontal="center"/>
    </xf>
    <xf numFmtId="0" fontId="6" fillId="0" borderId="2" xfId="12" applyFont="1" applyBorder="1" applyAlignment="1">
      <alignment horizontal="center" vertical="center" wrapText="1"/>
    </xf>
    <xf numFmtId="0" fontId="6" fillId="0" borderId="0" xfId="12" applyFont="1" applyAlignment="1">
      <alignment horizontal="center"/>
    </xf>
    <xf numFmtId="0" fontId="8" fillId="0" borderId="0" xfId="12" applyFont="1" applyAlignment="1">
      <alignment horizontal="center"/>
    </xf>
    <xf numFmtId="0" fontId="6" fillId="0" borderId="1" xfId="12" applyFont="1" applyBorder="1" applyAlignment="1">
      <alignment horizontal="center" vertical="center" wrapText="1"/>
    </xf>
    <xf numFmtId="0" fontId="6" fillId="0" borderId="3" xfId="12" applyFont="1" applyBorder="1" applyAlignment="1">
      <alignment horizontal="center" vertical="center" wrapText="1"/>
    </xf>
    <xf numFmtId="0" fontId="20" fillId="0" borderId="0" xfId="12" applyFont="1" applyAlignment="1">
      <alignment vertical="top" wrapText="1"/>
    </xf>
    <xf numFmtId="0" fontId="9" fillId="0" borderId="0" xfId="0" applyFont="1" applyAlignment="1">
      <alignment horizontal="center" vertical="top" wrapText="1"/>
    </xf>
    <xf numFmtId="0" fontId="6" fillId="0" borderId="0" xfId="2" applyFont="1" applyAlignment="1">
      <alignment horizontal="center"/>
    </xf>
    <xf numFmtId="0" fontId="38" fillId="0" borderId="2" xfId="0" applyFont="1" applyBorder="1" applyAlignment="1">
      <alignment horizontal="center" vertical="center" wrapText="1"/>
    </xf>
    <xf numFmtId="0" fontId="75" fillId="0" borderId="2" xfId="0" applyFont="1" applyBorder="1" applyAlignment="1">
      <alignment horizontal="center" vertical="center" wrapText="1"/>
    </xf>
    <xf numFmtId="0" fontId="21" fillId="3" borderId="2" xfId="0" applyFont="1" applyFill="1" applyBorder="1" applyAlignment="1">
      <alignment horizontal="right"/>
    </xf>
    <xf numFmtId="0" fontId="39" fillId="0" borderId="0" xfId="0" applyFont="1" applyBorder="1" applyAlignment="1">
      <alignment horizontal="center"/>
    </xf>
    <xf numFmtId="0" fontId="75" fillId="3" borderId="5" xfId="0" applyFont="1" applyFill="1" applyBorder="1" applyAlignment="1">
      <alignment horizontal="center" vertical="center" wrapText="1"/>
    </xf>
    <xf numFmtId="0" fontId="75" fillId="3" borderId="9" xfId="0" applyFont="1" applyFill="1" applyBorder="1" applyAlignment="1">
      <alignment horizontal="center" vertical="center" wrapText="1"/>
    </xf>
    <xf numFmtId="0" fontId="75" fillId="3" borderId="6" xfId="0" applyFont="1" applyFill="1" applyBorder="1" applyAlignment="1">
      <alignment horizontal="center" vertical="center" wrapText="1"/>
    </xf>
    <xf numFmtId="0" fontId="36" fillId="0" borderId="2" xfId="0" applyFont="1" applyBorder="1" applyAlignment="1">
      <alignment horizontal="center"/>
    </xf>
    <xf numFmtId="0" fontId="35" fillId="0" borderId="2" xfId="0" applyFont="1" applyBorder="1" applyAlignment="1">
      <alignment horizontal="center"/>
    </xf>
    <xf numFmtId="0" fontId="10" fillId="0" borderId="5" xfId="0" applyFont="1" applyBorder="1" applyAlignment="1">
      <alignment horizontal="left"/>
    </xf>
    <xf numFmtId="0" fontId="10" fillId="0" borderId="6" xfId="0" applyFont="1" applyBorder="1" applyAlignment="1">
      <alignment horizontal="left"/>
    </xf>
    <xf numFmtId="0" fontId="52" fillId="0" borderId="2" xfId="0" applyFont="1" applyBorder="1" applyAlignment="1">
      <alignment horizontal="center"/>
    </xf>
    <xf numFmtId="0" fontId="17" fillId="0" borderId="2" xfId="0" applyFont="1" applyBorder="1" applyAlignment="1">
      <alignment horizontal="left"/>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Fill="1" applyBorder="1" applyAlignment="1">
      <alignment horizont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5" xfId="0" applyFont="1" applyBorder="1" applyAlignment="1">
      <alignment horizontal="left" vertical="center" wrapText="1"/>
    </xf>
    <xf numFmtId="0" fontId="52" fillId="0" borderId="9" xfId="0" applyFont="1" applyBorder="1" applyAlignment="1">
      <alignment horizontal="left" vertical="center" wrapText="1"/>
    </xf>
    <xf numFmtId="0" fontId="52" fillId="0" borderId="6" xfId="0" applyFont="1" applyBorder="1" applyAlignment="1">
      <alignment horizontal="left" vertical="center" wrapText="1"/>
    </xf>
    <xf numFmtId="0" fontId="92" fillId="0" borderId="9" xfId="0" applyFont="1" applyBorder="1" applyAlignment="1">
      <alignment horizontal="center"/>
    </xf>
    <xf numFmtId="0" fontId="92" fillId="0" borderId="6" xfId="0" applyFont="1" applyBorder="1" applyAlignment="1">
      <alignment horizontal="center"/>
    </xf>
    <xf numFmtId="0" fontId="92" fillId="0" borderId="3" xfId="0" applyFont="1" applyBorder="1" applyAlignment="1">
      <alignment horizontal="left"/>
    </xf>
    <xf numFmtId="0" fontId="92" fillId="0" borderId="2" xfId="0" applyFont="1" applyBorder="1" applyAlignment="1">
      <alignment horizontal="left"/>
    </xf>
    <xf numFmtId="0" fontId="92" fillId="0" borderId="2" xfId="0" applyFont="1" applyBorder="1" applyAlignment="1">
      <alignment horizontal="center"/>
    </xf>
    <xf numFmtId="0" fontId="84" fillId="0" borderId="2" xfId="0" applyFont="1" applyBorder="1" applyAlignment="1">
      <alignment horizontal="center" vertical="center" wrapText="1"/>
    </xf>
    <xf numFmtId="0" fontId="92" fillId="0" borderId="5" xfId="0" applyFont="1" applyBorder="1" applyAlignment="1">
      <alignment horizontal="center"/>
    </xf>
    <xf numFmtId="0" fontId="92" fillId="0" borderId="5" xfId="0" applyFont="1" applyBorder="1" applyAlignment="1">
      <alignment horizontal="left"/>
    </xf>
    <xf numFmtId="0" fontId="92" fillId="0" borderId="6" xfId="0" applyFont="1" applyBorder="1" applyAlignment="1">
      <alignment horizontal="left"/>
    </xf>
    <xf numFmtId="0" fontId="38" fillId="0" borderId="7" xfId="13" applyFont="1" applyFill="1" applyBorder="1" applyAlignment="1">
      <alignment horizontal="center"/>
    </xf>
    <xf numFmtId="0" fontId="35" fillId="0" borderId="0" xfId="13" applyFont="1" applyFill="1" applyAlignment="1">
      <alignment horizontal="center"/>
    </xf>
    <xf numFmtId="0" fontId="6" fillId="0" borderId="5" xfId="13" applyFont="1" applyFill="1" applyBorder="1" applyAlignment="1">
      <alignment horizontal="center" vertical="center" wrapText="1"/>
    </xf>
    <xf numFmtId="0" fontId="6" fillId="0" borderId="9" xfId="13" applyFont="1" applyFill="1" applyBorder="1" applyAlignment="1">
      <alignment horizontal="center" vertical="center" wrapText="1"/>
    </xf>
    <xf numFmtId="0" fontId="6" fillId="0" borderId="6" xfId="13" applyFont="1" applyFill="1" applyBorder="1" applyAlignment="1">
      <alignment horizontal="center" vertical="center" wrapText="1"/>
    </xf>
    <xf numFmtId="0" fontId="6" fillId="0" borderId="2" xfId="13" applyFont="1" applyFill="1" applyBorder="1" applyAlignment="1">
      <alignment horizontal="center" vertical="center" wrapText="1"/>
    </xf>
    <xf numFmtId="0" fontId="38" fillId="0" borderId="1" xfId="13" applyFont="1" applyFill="1" applyBorder="1" applyAlignment="1">
      <alignment horizontal="center" vertical="center" wrapText="1"/>
    </xf>
    <xf numFmtId="0" fontId="38" fillId="0" borderId="3" xfId="13" applyFont="1" applyFill="1" applyBorder="1" applyAlignment="1">
      <alignment horizontal="center" vertical="center" wrapText="1"/>
    </xf>
    <xf numFmtId="0" fontId="36" fillId="0" borderId="0" xfId="13" applyFont="1" applyFill="1" applyAlignment="1">
      <alignment horizontal="center"/>
    </xf>
    <xf numFmtId="0" fontId="6" fillId="0" borderId="0" xfId="13" applyFont="1" applyAlignment="1">
      <alignment horizontal="left"/>
    </xf>
    <xf numFmtId="0" fontId="11" fillId="0" borderId="1" xfId="13" applyFont="1" applyFill="1" applyBorder="1" applyAlignment="1">
      <alignment horizontal="center" vertical="center" wrapText="1"/>
    </xf>
    <xf numFmtId="0" fontId="11" fillId="0" borderId="10" xfId="13" applyFont="1" applyFill="1" applyBorder="1" applyAlignment="1">
      <alignment horizontal="center" vertical="center" wrapText="1"/>
    </xf>
    <xf numFmtId="0" fontId="11" fillId="0" borderId="3" xfId="13" applyFont="1" applyFill="1" applyBorder="1" applyAlignment="1">
      <alignment horizontal="center" vertical="center" wrapText="1"/>
    </xf>
    <xf numFmtId="0" fontId="6" fillId="0" borderId="5" xfId="13" applyFont="1" applyFill="1" applyBorder="1" applyAlignment="1">
      <alignment horizontal="center"/>
    </xf>
    <xf numFmtId="0" fontId="6" fillId="0" borderId="6" xfId="13" applyFont="1" applyFill="1" applyBorder="1" applyAlignment="1">
      <alignment horizontal="center"/>
    </xf>
    <xf numFmtId="0" fontId="38" fillId="0" borderId="7" xfId="0" applyFont="1" applyBorder="1" applyAlignment="1">
      <alignment horizontal="center"/>
    </xf>
    <xf numFmtId="0" fontId="38" fillId="0" borderId="7" xfId="0" applyFont="1" applyBorder="1" applyAlignment="1">
      <alignment horizontal="left"/>
    </xf>
    <xf numFmtId="0" fontId="84" fillId="0" borderId="2" xfId="0" applyFont="1" applyBorder="1" applyAlignment="1">
      <alignment horizontal="right" vertical="center"/>
    </xf>
    <xf numFmtId="0" fontId="83" fillId="0" borderId="2" xfId="0" applyFont="1" applyBorder="1" applyAlignment="1">
      <alignment horizontal="right" vertical="center"/>
    </xf>
    <xf numFmtId="0" fontId="8" fillId="0" borderId="2" xfId="0" applyFont="1" applyBorder="1" applyAlignment="1">
      <alignment horizontal="center" vertical="center"/>
    </xf>
    <xf numFmtId="0" fontId="47" fillId="0" borderId="2" xfId="0" applyFont="1" applyBorder="1" applyAlignment="1">
      <alignment horizontal="center" vertical="center"/>
    </xf>
    <xf numFmtId="0" fontId="84" fillId="0" borderId="2" xfId="0" applyFont="1" applyBorder="1" applyAlignment="1">
      <alignment horizontal="center"/>
    </xf>
    <xf numFmtId="0" fontId="19" fillId="0" borderId="0" xfId="0" applyFont="1" applyBorder="1" applyAlignment="1">
      <alignment horizontal="center" wrapText="1"/>
    </xf>
    <xf numFmtId="0" fontId="105" fillId="0" borderId="2" xfId="0" applyFont="1" applyBorder="1" applyAlignment="1">
      <alignment horizontal="center" vertical="center"/>
    </xf>
    <xf numFmtId="0" fontId="84" fillId="0" borderId="2" xfId="0" applyFont="1" applyBorder="1" applyAlignment="1"/>
    <xf numFmtId="0" fontId="85" fillId="0" borderId="2" xfId="0" applyFont="1" applyBorder="1" applyAlignment="1">
      <alignment horizontal="center" vertical="center"/>
    </xf>
    <xf numFmtId="0" fontId="85" fillId="0" borderId="2" xfId="0" applyFont="1" applyBorder="1" applyAlignment="1">
      <alignment horizontal="center" vertical="center" wrapText="1"/>
    </xf>
    <xf numFmtId="0" fontId="84" fillId="0" borderId="2" xfId="0" applyFont="1" applyBorder="1" applyAlignment="1">
      <alignment horizontal="center" vertical="center"/>
    </xf>
    <xf numFmtId="0" fontId="11" fillId="0" borderId="0" xfId="8" applyAlignment="1">
      <alignment horizontal="center"/>
    </xf>
    <xf numFmtId="0" fontId="10" fillId="0" borderId="0" xfId="8" applyFont="1" applyAlignment="1">
      <alignment horizontal="center"/>
    </xf>
    <xf numFmtId="0" fontId="12" fillId="0" borderId="0" xfId="8" applyFont="1" applyAlignment="1">
      <alignment horizontal="center"/>
    </xf>
    <xf numFmtId="0" fontId="6" fillId="0" borderId="5" xfId="8" applyFont="1" applyBorder="1" applyAlignment="1">
      <alignment horizontal="center" vertical="center"/>
    </xf>
    <xf numFmtId="0" fontId="6" fillId="0" borderId="9" xfId="8" applyFont="1" applyBorder="1" applyAlignment="1">
      <alignment horizontal="center" vertical="center"/>
    </xf>
    <xf numFmtId="0" fontId="0" fillId="0" borderId="0" xfId="0" applyAlignment="1">
      <alignment horizontal="left"/>
    </xf>
    <xf numFmtId="0" fontId="11" fillId="0" borderId="0" xfId="8" applyAlignment="1">
      <alignment horizontal="left"/>
    </xf>
    <xf numFmtId="0" fontId="6" fillId="0" borderId="1" xfId="8" applyFont="1" applyBorder="1" applyAlignment="1">
      <alignment horizontal="center" vertical="top" wrapText="1"/>
    </xf>
    <xf numFmtId="0" fontId="6" fillId="0" borderId="3" xfId="8" applyFont="1" applyBorder="1" applyAlignment="1">
      <alignment horizontal="center" vertical="top" wrapText="1"/>
    </xf>
    <xf numFmtId="0" fontId="6" fillId="0" borderId="1" xfId="8" applyFont="1" applyBorder="1" applyAlignment="1">
      <alignment horizontal="left" vertical="top" wrapText="1"/>
    </xf>
    <xf numFmtId="0" fontId="6" fillId="0" borderId="3" xfId="8" applyFont="1" applyBorder="1" applyAlignment="1">
      <alignment horizontal="left" vertical="top" wrapText="1"/>
    </xf>
    <xf numFmtId="0" fontId="10" fillId="0" borderId="5" xfId="8" applyFont="1" applyBorder="1" applyAlignment="1">
      <alignment horizontal="center" vertical="top"/>
    </xf>
    <xf numFmtId="0" fontId="10" fillId="0" borderId="9" xfId="8" applyFont="1" applyBorder="1" applyAlignment="1">
      <alignment horizontal="center" vertical="top"/>
    </xf>
    <xf numFmtId="0" fontId="10" fillId="0" borderId="17" xfId="8" applyFont="1" applyBorder="1" applyAlignment="1">
      <alignment horizontal="center" vertical="top"/>
    </xf>
    <xf numFmtId="0" fontId="8" fillId="0" borderId="0" xfId="8" applyFont="1" applyAlignment="1">
      <alignment horizontal="center"/>
    </xf>
    <xf numFmtId="0" fontId="19" fillId="0" borderId="5" xfId="8" applyFont="1" applyBorder="1" applyAlignment="1">
      <alignment horizontal="center" vertical="center"/>
    </xf>
    <xf numFmtId="0" fontId="19" fillId="0" borderId="6" xfId="8" applyFont="1" applyBorder="1" applyAlignment="1">
      <alignment horizontal="center" vertical="center"/>
    </xf>
    <xf numFmtId="0" fontId="19" fillId="0" borderId="2" xfId="8" applyFont="1" applyBorder="1" applyAlignment="1">
      <alignment horizontal="center" vertical="center" wrapText="1"/>
    </xf>
    <xf numFmtId="0" fontId="19" fillId="0" borderId="5" xfId="8" applyFont="1" applyBorder="1" applyAlignment="1">
      <alignment horizontal="center" vertical="center" wrapText="1"/>
    </xf>
    <xf numFmtId="0" fontId="19" fillId="0" borderId="9" xfId="8" applyFont="1" applyBorder="1" applyAlignment="1">
      <alignment horizontal="center" vertical="center" wrapText="1"/>
    </xf>
    <xf numFmtId="0" fontId="19" fillId="0" borderId="6" xfId="8" applyFont="1" applyBorder="1" applyAlignment="1">
      <alignment horizontal="center" vertical="center" wrapText="1"/>
    </xf>
    <xf numFmtId="0" fontId="0" fillId="0" borderId="0" xfId="0" applyAlignment="1">
      <alignment horizontal="center" vertical="center"/>
    </xf>
    <xf numFmtId="0" fontId="51" fillId="0" borderId="0" xfId="0" applyFont="1" applyAlignment="1">
      <alignment horizontal="center" vertical="center"/>
    </xf>
    <xf numFmtId="0" fontId="19" fillId="0" borderId="0" xfId="8" applyFont="1" applyAlignment="1">
      <alignment horizontal="center" vertical="center"/>
    </xf>
    <xf numFmtId="0" fontId="20" fillId="0" borderId="0" xfId="8" applyFont="1" applyAlignment="1">
      <alignment horizontal="center" vertical="center"/>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6" xfId="0" applyFont="1" applyBorder="1" applyAlignment="1">
      <alignment horizontal="center" vertical="center" wrapText="1"/>
    </xf>
    <xf numFmtId="0" fontId="35" fillId="0" borderId="0" xfId="0" applyFont="1" applyAlignment="1">
      <alignment horizontal="right"/>
    </xf>
    <xf numFmtId="0" fontId="38" fillId="0" borderId="0" xfId="0" applyFont="1" applyAlignment="1">
      <alignment horizontal="center"/>
    </xf>
    <xf numFmtId="0" fontId="6" fillId="0" borderId="5" xfId="0" applyFont="1" applyBorder="1" applyAlignment="1">
      <alignment vertical="center"/>
    </xf>
    <xf numFmtId="0" fontId="6" fillId="0" borderId="6" xfId="0" applyFont="1" applyBorder="1" applyAlignment="1">
      <alignment vertical="center"/>
    </xf>
    <xf numFmtId="0" fontId="6" fillId="3" borderId="2" xfId="2" quotePrefix="1" applyFont="1" applyFill="1" applyBorder="1" applyAlignment="1">
      <alignment horizontal="center" vertical="center" wrapText="1"/>
    </xf>
    <xf numFmtId="0" fontId="6" fillId="0" borderId="0" xfId="2" applyFont="1" applyAlignment="1">
      <alignment horizontal="center" vertical="top" wrapText="1"/>
    </xf>
    <xf numFmtId="0" fontId="21" fillId="0" borderId="0" xfId="2" applyFont="1" applyAlignment="1">
      <alignment horizontal="center"/>
    </xf>
    <xf numFmtId="0" fontId="19" fillId="0" borderId="0" xfId="2" applyFont="1" applyAlignment="1">
      <alignment horizontal="center"/>
    </xf>
    <xf numFmtId="0" fontId="21" fillId="0" borderId="0" xfId="0" applyFont="1" applyBorder="1" applyAlignment="1">
      <alignment horizontal="center" vertical="center"/>
    </xf>
    <xf numFmtId="0" fontId="6" fillId="0" borderId="2" xfId="2" applyFont="1" applyBorder="1" applyAlignment="1">
      <alignment horizontal="center" vertical="center"/>
    </xf>
    <xf numFmtId="0" fontId="19" fillId="0" borderId="8" xfId="2" applyFont="1" applyBorder="1" applyAlignment="1">
      <alignment horizontal="center"/>
    </xf>
    <xf numFmtId="0" fontId="19" fillId="0" borderId="13" xfId="2" applyFont="1" applyBorder="1" applyAlignment="1">
      <alignment horizontal="center"/>
    </xf>
    <xf numFmtId="0" fontId="21" fillId="0" borderId="0" xfId="1" applyFont="1" applyAlignment="1">
      <alignment horizontal="right"/>
    </xf>
    <xf numFmtId="0" fontId="6" fillId="0" borderId="0" xfId="1" applyFont="1" applyAlignment="1">
      <alignment horizontal="center"/>
    </xf>
    <xf numFmtId="0" fontId="19" fillId="0" borderId="0" xfId="1" applyFont="1" applyAlignment="1">
      <alignment horizontal="center"/>
    </xf>
    <xf numFmtId="0" fontId="38" fillId="0" borderId="1" xfId="14" applyFont="1" applyBorder="1" applyAlignment="1">
      <alignment horizontal="center" vertical="center" wrapText="1"/>
    </xf>
    <xf numFmtId="0" fontId="38" fillId="0" borderId="10" xfId="14" applyFont="1" applyBorder="1" applyAlignment="1">
      <alignment horizontal="center" vertical="center" wrapText="1"/>
    </xf>
    <xf numFmtId="0" fontId="6" fillId="3" borderId="2" xfId="1" applyFont="1" applyFill="1" applyBorder="1" applyAlignment="1">
      <alignment horizontal="center" vertical="center" wrapText="1"/>
    </xf>
    <xf numFmtId="0" fontId="21" fillId="0" borderId="7" xfId="14" applyFont="1" applyBorder="1" applyAlignment="1">
      <alignment horizontal="right"/>
    </xf>
    <xf numFmtId="0" fontId="79" fillId="0" borderId="1" xfId="0" applyFont="1" applyBorder="1" applyAlignment="1">
      <alignment horizontal="center" vertical="top" wrapText="1"/>
    </xf>
    <xf numFmtId="0" fontId="79" fillId="0" borderId="10" xfId="0" applyFont="1" applyBorder="1" applyAlignment="1">
      <alignment horizontal="center" vertical="top" wrapText="1"/>
    </xf>
    <xf numFmtId="0" fontId="79" fillId="0" borderId="3" xfId="0" applyFont="1" applyBorder="1" applyAlignment="1">
      <alignment horizontal="center" vertical="top" wrapText="1"/>
    </xf>
    <xf numFmtId="0" fontId="0" fillId="0" borderId="5" xfId="0" applyBorder="1" applyAlignment="1">
      <alignment horizontal="center"/>
    </xf>
    <xf numFmtId="0" fontId="106" fillId="0" borderId="0" xfId="0" applyFont="1" applyBorder="1" applyAlignment="1">
      <alignment horizontal="left" vertical="center" wrapText="1"/>
    </xf>
    <xf numFmtId="0" fontId="79" fillId="0" borderId="12" xfId="0" applyFont="1" applyBorder="1" applyAlignment="1">
      <alignment horizontal="center" vertical="top" wrapText="1"/>
    </xf>
    <xf numFmtId="0" fontId="79" fillId="0" borderId="16" xfId="0" applyFont="1" applyBorder="1" applyAlignment="1">
      <alignment horizontal="center" vertical="top" wrapText="1"/>
    </xf>
    <xf numFmtId="0" fontId="79" fillId="0" borderId="14" xfId="0" applyFont="1" applyBorder="1" applyAlignment="1">
      <alignment horizontal="center" vertical="top" wrapText="1"/>
    </xf>
    <xf numFmtId="0" fontId="79" fillId="0" borderId="11" xfId="0" applyFont="1" applyBorder="1" applyAlignment="1">
      <alignment horizontal="center" vertical="top" wrapText="1"/>
    </xf>
    <xf numFmtId="0" fontId="79" fillId="0" borderId="0" xfId="0" applyFont="1" applyBorder="1" applyAlignment="1">
      <alignment horizontal="center" vertical="top" wrapText="1"/>
    </xf>
    <xf numFmtId="0" fontId="79" fillId="0" borderId="15" xfId="0" applyFont="1" applyBorder="1" applyAlignment="1">
      <alignment horizontal="center" vertical="top" wrapText="1"/>
    </xf>
    <xf numFmtId="0" fontId="56" fillId="0" borderId="2" xfId="2" applyFont="1" applyBorder="1" applyAlignment="1">
      <alignment horizontal="center" wrapText="1"/>
    </xf>
    <xf numFmtId="0" fontId="79" fillId="0" borderId="2" xfId="0" applyFont="1" applyBorder="1" applyAlignment="1">
      <alignment horizontal="center" vertical="top" wrapText="1"/>
    </xf>
    <xf numFmtId="0" fontId="78" fillId="0" borderId="0" xfId="0" applyFont="1" applyBorder="1" applyAlignment="1">
      <alignment horizontal="center" vertical="top"/>
    </xf>
    <xf numFmtId="0" fontId="6" fillId="0" borderId="7" xfId="0" applyFont="1" applyBorder="1" applyAlignment="1">
      <alignment horizontal="left"/>
    </xf>
    <xf numFmtId="0" fontId="74" fillId="0" borderId="1" xfId="0" applyFont="1" applyBorder="1" applyAlignment="1">
      <alignment horizontal="left" vertical="center" wrapText="1"/>
    </xf>
    <xf numFmtId="0" fontId="74" fillId="0" borderId="10" xfId="0" applyFont="1" applyBorder="1" applyAlignment="1">
      <alignment horizontal="left" vertical="center" wrapText="1"/>
    </xf>
    <xf numFmtId="0" fontId="89" fillId="0" borderId="1" xfId="2" applyFont="1" applyBorder="1" applyAlignment="1">
      <alignment horizontal="center" vertical="center" wrapText="1"/>
    </xf>
    <xf numFmtId="0" fontId="89" fillId="0" borderId="10" xfId="2" applyFont="1" applyBorder="1" applyAlignment="1">
      <alignment horizontal="center" vertical="center" wrapText="1"/>
    </xf>
    <xf numFmtId="0" fontId="89" fillId="0" borderId="3" xfId="2" applyFont="1" applyBorder="1" applyAlignment="1">
      <alignment horizontal="center" vertical="center" wrapText="1"/>
    </xf>
    <xf numFmtId="0" fontId="17" fillId="0" borderId="0" xfId="2" applyFont="1" applyAlignment="1">
      <alignment horizontal="center" vertical="top" wrapText="1"/>
    </xf>
    <xf numFmtId="0" fontId="74" fillId="0" borderId="14" xfId="0" applyFont="1" applyBorder="1" applyAlignment="1">
      <alignment horizontal="left" vertical="center" wrapText="1"/>
    </xf>
    <xf numFmtId="0" fontId="74" fillId="0" borderId="15" xfId="0" applyFont="1" applyBorder="1" applyAlignment="1">
      <alignment horizontal="left" vertical="center" wrapText="1"/>
    </xf>
    <xf numFmtId="0" fontId="74" fillId="0" borderId="13" xfId="0" applyFont="1" applyBorder="1" applyAlignment="1">
      <alignment horizontal="left" vertical="center" wrapText="1"/>
    </xf>
    <xf numFmtId="0" fontId="46" fillId="0" borderId="0" xfId="0" applyFont="1" applyAlignment="1">
      <alignment horizontal="center"/>
    </xf>
    <xf numFmtId="0" fontId="75" fillId="0" borderId="0" xfId="0" applyFont="1" applyAlignment="1">
      <alignment horizontal="center" vertical="center"/>
    </xf>
    <xf numFmtId="0" fontId="74" fillId="0" borderId="0" xfId="0" applyFont="1" applyBorder="1" applyAlignment="1">
      <alignment horizontal="center" vertical="center"/>
    </xf>
    <xf numFmtId="0" fontId="30" fillId="0" borderId="7" xfId="0" applyFont="1" applyBorder="1" applyAlignment="1">
      <alignment horizontal="right"/>
    </xf>
    <xf numFmtId="0" fontId="44" fillId="0" borderId="0" xfId="0" applyFont="1" applyAlignment="1">
      <alignment horizontal="center" vertical="center" wrapText="1"/>
    </xf>
    <xf numFmtId="0" fontId="19" fillId="0" borderId="2" xfId="0" applyFont="1" applyBorder="1" applyAlignment="1">
      <alignment horizontal="center" vertical="top"/>
    </xf>
    <xf numFmtId="0" fontId="19" fillId="0" borderId="2" xfId="0" applyFont="1" applyBorder="1" applyAlignment="1">
      <alignment horizontal="center" vertical="top" wrapText="1"/>
    </xf>
    <xf numFmtId="0" fontId="19" fillId="0" borderId="10" xfId="0" applyFont="1" applyBorder="1" applyAlignment="1">
      <alignment horizontal="center" vertical="top"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6" fillId="3" borderId="0" xfId="0" applyFont="1" applyFill="1" applyAlignment="1">
      <alignment horizontal="center"/>
    </xf>
    <xf numFmtId="0" fontId="11" fillId="3" borderId="0" xfId="0" applyFont="1" applyFill="1" applyAlignment="1">
      <alignment horizontal="center"/>
    </xf>
    <xf numFmtId="0" fontId="7" fillId="3" borderId="0" xfId="0" applyFont="1" applyFill="1" applyAlignment="1">
      <alignment horizontal="right"/>
    </xf>
    <xf numFmtId="0" fontId="6" fillId="3" borderId="0" xfId="0" applyFont="1" applyFill="1" applyBorder="1" applyAlignment="1">
      <alignment horizontal="right"/>
    </xf>
    <xf numFmtId="0" fontId="6" fillId="3" borderId="2" xfId="0" applyFont="1" applyFill="1" applyBorder="1" applyAlignment="1">
      <alignment horizontal="center" vertical="top" wrapText="1"/>
    </xf>
    <xf numFmtId="0" fontId="6" fillId="3" borderId="5" xfId="0" applyFont="1" applyFill="1" applyBorder="1" applyAlignment="1">
      <alignment horizontal="center" vertical="top" wrapText="1"/>
    </xf>
    <xf numFmtId="0" fontId="6" fillId="3" borderId="9"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0" xfId="0" applyFont="1" applyFill="1" applyAlignment="1">
      <alignment horizontal="left"/>
    </xf>
    <xf numFmtId="0" fontId="6" fillId="3" borderId="12" xfId="0" applyFont="1" applyFill="1" applyBorder="1" applyAlignment="1">
      <alignment horizontal="center" vertical="top" wrapText="1"/>
    </xf>
    <xf numFmtId="0" fontId="6" fillId="3" borderId="8" xfId="0" applyFont="1" applyFill="1" applyBorder="1" applyAlignment="1">
      <alignment horizontal="center" vertical="top" wrapText="1"/>
    </xf>
    <xf numFmtId="0" fontId="10" fillId="3" borderId="0" xfId="0" applyFont="1" applyFill="1" applyAlignment="1">
      <alignment horizontal="center"/>
    </xf>
    <xf numFmtId="0" fontId="8" fillId="3" borderId="0" xfId="0" applyFont="1" applyFill="1" applyAlignment="1">
      <alignment horizontal="center"/>
    </xf>
    <xf numFmtId="0" fontId="11" fillId="4" borderId="0" xfId="0" applyFont="1" applyFill="1" applyAlignment="1">
      <alignment horizontal="center"/>
    </xf>
    <xf numFmtId="0" fontId="20" fillId="3" borderId="0" xfId="0" applyFont="1" applyFill="1" applyAlignment="1">
      <alignment horizontal="center" wrapText="1"/>
    </xf>
    <xf numFmtId="0" fontId="6" fillId="3" borderId="2" xfId="0" applyFont="1" applyFill="1" applyBorder="1" applyAlignment="1">
      <alignment horizontal="center" vertical="top"/>
    </xf>
    <xf numFmtId="0" fontId="6" fillId="3" borderId="5" xfId="0" applyFont="1" applyFill="1" applyBorder="1" applyAlignment="1">
      <alignment horizontal="center" vertical="top"/>
    </xf>
    <xf numFmtId="0" fontId="6" fillId="3" borderId="9" xfId="0" applyFont="1" applyFill="1" applyBorder="1" applyAlignment="1">
      <alignment horizontal="center" vertical="top"/>
    </xf>
    <xf numFmtId="0" fontId="6" fillId="3" borderId="6" xfId="0" applyFont="1" applyFill="1" applyBorder="1" applyAlignment="1">
      <alignment horizontal="center" vertical="top"/>
    </xf>
    <xf numFmtId="0" fontId="6" fillId="3" borderId="12" xfId="0" applyFont="1" applyFill="1" applyBorder="1" applyAlignment="1">
      <alignment horizontal="center" vertical="top"/>
    </xf>
    <xf numFmtId="0" fontId="6" fillId="3" borderId="8" xfId="0" applyFont="1" applyFill="1" applyBorder="1" applyAlignment="1">
      <alignment horizontal="center" vertical="top"/>
    </xf>
    <xf numFmtId="0" fontId="54" fillId="3" borderId="12" xfId="0" applyFont="1" applyFill="1" applyBorder="1" applyAlignment="1">
      <alignment horizontal="center" vertical="top" wrapText="1"/>
    </xf>
    <xf numFmtId="0" fontId="54" fillId="3" borderId="16" xfId="0" applyFont="1" applyFill="1" applyBorder="1" applyAlignment="1">
      <alignment horizontal="center" vertical="top" wrapText="1"/>
    </xf>
    <xf numFmtId="0" fontId="54" fillId="3" borderId="14" xfId="0" applyFont="1" applyFill="1" applyBorder="1" applyAlignment="1">
      <alignment horizontal="center" vertical="top" wrapText="1"/>
    </xf>
    <xf numFmtId="0" fontId="54" fillId="3" borderId="11" xfId="0" applyFont="1" applyFill="1" applyBorder="1" applyAlignment="1">
      <alignment horizontal="center" vertical="top" wrapText="1"/>
    </xf>
    <xf numFmtId="0" fontId="54" fillId="3" borderId="0" xfId="0" applyFont="1" applyFill="1" applyBorder="1" applyAlignment="1">
      <alignment horizontal="center" vertical="top" wrapText="1"/>
    </xf>
    <xf numFmtId="0" fontId="54" fillId="3" borderId="15" xfId="0" applyFont="1" applyFill="1" applyBorder="1" applyAlignment="1">
      <alignment horizontal="center" vertical="top" wrapText="1"/>
    </xf>
    <xf numFmtId="0" fontId="54" fillId="3" borderId="8" xfId="0" applyFont="1" applyFill="1" applyBorder="1" applyAlignment="1">
      <alignment horizontal="center" vertical="top" wrapText="1"/>
    </xf>
    <xf numFmtId="0" fontId="54" fillId="3" borderId="7" xfId="0" applyFont="1" applyFill="1" applyBorder="1" applyAlignment="1">
      <alignment horizontal="center" vertical="top" wrapText="1"/>
    </xf>
    <xf numFmtId="0" fontId="54" fillId="3" borderId="13"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3" xfId="0" applyFont="1" applyFill="1" applyBorder="1" applyAlignment="1">
      <alignment horizontal="center" vertical="top" wrapText="1"/>
    </xf>
    <xf numFmtId="0" fontId="93" fillId="3" borderId="1" xfId="0" applyFont="1" applyFill="1" applyBorder="1" applyAlignment="1">
      <alignment horizontal="center" vertical="center" wrapText="1"/>
    </xf>
    <xf numFmtId="0" fontId="93" fillId="3" borderId="3" xfId="0" applyFont="1" applyFill="1" applyBorder="1" applyAlignment="1">
      <alignment horizontal="center" vertical="center" wrapText="1"/>
    </xf>
    <xf numFmtId="0" fontId="93" fillId="3" borderId="2" xfId="0" applyFont="1" applyFill="1" applyBorder="1" applyAlignment="1">
      <alignment horizontal="center" vertical="center" wrapText="1"/>
    </xf>
    <xf numFmtId="0" fontId="93" fillId="3" borderId="12" xfId="0" applyFont="1" applyFill="1" applyBorder="1" applyAlignment="1">
      <alignment horizontal="center" vertical="center" wrapText="1"/>
    </xf>
    <xf numFmtId="0" fontId="93" fillId="3" borderId="8" xfId="0" applyFont="1" applyFill="1" applyBorder="1" applyAlignment="1">
      <alignment horizontal="center" vertical="center" wrapText="1"/>
    </xf>
    <xf numFmtId="0" fontId="93" fillId="3" borderId="5" xfId="0" applyFont="1" applyFill="1" applyBorder="1" applyAlignment="1">
      <alignment horizontal="center" vertical="center" wrapText="1"/>
    </xf>
    <xf numFmtId="0" fontId="93" fillId="3" borderId="9" xfId="0" applyFont="1" applyFill="1" applyBorder="1" applyAlignment="1">
      <alignment horizontal="center" vertical="center" wrapText="1"/>
    </xf>
    <xf numFmtId="0" fontId="93" fillId="3" borderId="6" xfId="0" applyFont="1" applyFill="1" applyBorder="1" applyAlignment="1">
      <alignment horizontal="center" vertical="center" wrapText="1"/>
    </xf>
    <xf numFmtId="0" fontId="93" fillId="3" borderId="16" xfId="0" applyFont="1" applyFill="1" applyBorder="1" applyAlignment="1">
      <alignment horizontal="center" vertical="center" wrapText="1"/>
    </xf>
    <xf numFmtId="0" fontId="93" fillId="3" borderId="14" xfId="0" applyFont="1" applyFill="1" applyBorder="1" applyAlignment="1">
      <alignment horizontal="center" vertical="center" wrapText="1"/>
    </xf>
    <xf numFmtId="0" fontId="93" fillId="3" borderId="0" xfId="0" applyFont="1" applyFill="1" applyBorder="1" applyAlignment="1">
      <alignment horizontal="right"/>
    </xf>
    <xf numFmtId="0" fontId="93" fillId="3" borderId="0" xfId="0" applyFont="1" applyFill="1" applyAlignment="1">
      <alignment horizontal="left"/>
    </xf>
    <xf numFmtId="0" fontId="93" fillId="3" borderId="0" xfId="0" applyFont="1" applyFill="1" applyAlignment="1">
      <alignment horizontal="center"/>
    </xf>
    <xf numFmtId="0" fontId="108" fillId="3" borderId="0" xfId="0" applyFont="1" applyFill="1" applyAlignment="1">
      <alignment horizontal="right"/>
    </xf>
    <xf numFmtId="0" fontId="109" fillId="3" borderId="0" xfId="0" applyFont="1" applyFill="1" applyAlignment="1">
      <alignment horizontal="center"/>
    </xf>
    <xf numFmtId="0" fontId="110" fillId="3" borderId="0" xfId="0" applyFont="1" applyFill="1" applyAlignment="1">
      <alignment horizontal="center"/>
    </xf>
    <xf numFmtId="0" fontId="111" fillId="3" borderId="0" xfId="0" applyFont="1" applyFill="1" applyAlignment="1">
      <alignment horizontal="center" wrapText="1"/>
    </xf>
    <xf numFmtId="0" fontId="90" fillId="3" borderId="0" xfId="0" applyFont="1" applyFill="1" applyAlignment="1">
      <alignment horizontal="center"/>
    </xf>
    <xf numFmtId="0" fontId="6" fillId="3" borderId="1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3" borderId="0" xfId="0" applyFont="1" applyFill="1" applyAlignment="1">
      <alignment horizontal="center"/>
    </xf>
    <xf numFmtId="0" fontId="12" fillId="3" borderId="0" xfId="0" applyFont="1" applyFill="1" applyAlignment="1">
      <alignment horizontal="center" wrapText="1"/>
    </xf>
    <xf numFmtId="0" fontId="62" fillId="3" borderId="2" xfId="0" applyFont="1" applyFill="1" applyBorder="1" applyAlignment="1">
      <alignment horizontal="center"/>
    </xf>
    <xf numFmtId="0" fontId="32" fillId="0" borderId="0" xfId="2" applyFont="1" applyAlignment="1">
      <alignment horizontal="center"/>
    </xf>
    <xf numFmtId="0" fontId="24" fillId="0" borderId="1" xfId="2" applyFont="1" applyBorder="1" applyAlignment="1">
      <alignment horizontal="center" vertical="top" wrapText="1"/>
    </xf>
    <xf numFmtId="0" fontId="24" fillId="0" borderId="3" xfId="2" applyFont="1" applyBorder="1" applyAlignment="1">
      <alignment horizontal="center" vertical="top" wrapText="1"/>
    </xf>
    <xf numFmtId="0" fontId="24" fillId="0" borderId="5" xfId="2" applyFont="1" applyBorder="1" applyAlignment="1">
      <alignment horizontal="center" vertical="top" wrapText="1"/>
    </xf>
    <xf numFmtId="0" fontId="24" fillId="0" borderId="9" xfId="2" applyFont="1" applyBorder="1" applyAlignment="1">
      <alignment horizontal="center" vertical="top" wrapText="1"/>
    </xf>
    <xf numFmtId="0" fontId="24" fillId="0" borderId="14" xfId="2" applyFont="1" applyBorder="1" applyAlignment="1">
      <alignment horizontal="center" vertical="top" wrapText="1"/>
    </xf>
    <xf numFmtId="0" fontId="24" fillId="0" borderId="2" xfId="2" applyFont="1" applyBorder="1" applyAlignment="1">
      <alignment horizontal="center" vertical="top" wrapText="1"/>
    </xf>
    <xf numFmtId="0" fontId="24" fillId="0" borderId="6" xfId="2" applyFont="1" applyBorder="1" applyAlignment="1">
      <alignment horizontal="center" vertical="top" wrapText="1"/>
    </xf>
    <xf numFmtId="0" fontId="32" fillId="0" borderId="0" xfId="1" applyFont="1" applyAlignment="1">
      <alignment horizontal="center"/>
    </xf>
    <xf numFmtId="0" fontId="22" fillId="0" borderId="2" xfId="1" applyFont="1" applyBorder="1" applyAlignment="1">
      <alignment horizontal="center" vertical="top" wrapText="1"/>
    </xf>
    <xf numFmtId="0" fontId="26" fillId="0" borderId="2" xfId="1" applyFont="1" applyBorder="1" applyAlignment="1">
      <alignment horizontal="center" vertical="top" wrapText="1"/>
    </xf>
    <xf numFmtId="0" fontId="26" fillId="0" borderId="1" xfId="1" applyFont="1" applyBorder="1" applyAlignment="1">
      <alignment horizontal="center" vertical="top" wrapText="1"/>
    </xf>
    <xf numFmtId="0" fontId="26" fillId="0" borderId="3" xfId="1" applyFont="1" applyBorder="1" applyAlignment="1">
      <alignment horizontal="center" vertical="top" wrapText="1"/>
    </xf>
    <xf numFmtId="0" fontId="112" fillId="0" borderId="11" xfId="0" applyFont="1" applyBorder="1" applyAlignment="1">
      <alignment horizontal="center"/>
    </xf>
    <xf numFmtId="0" fontId="112" fillId="0" borderId="0" xfId="0" applyFont="1" applyBorder="1" applyAlignment="1">
      <alignment horizontal="center"/>
    </xf>
    <xf numFmtId="0" fontId="98" fillId="0" borderId="1" xfId="0" applyFont="1" applyBorder="1" applyAlignment="1">
      <alignment horizontal="center" vertical="center"/>
    </xf>
    <xf numFmtId="0" fontId="98" fillId="0" borderId="3" xfId="0" applyFont="1" applyBorder="1" applyAlignment="1">
      <alignment horizontal="center" vertical="center"/>
    </xf>
    <xf numFmtId="0" fontId="98" fillId="0" borderId="1" xfId="0" applyFont="1" applyBorder="1" applyAlignment="1">
      <alignment horizontal="center" vertical="center" wrapText="1"/>
    </xf>
    <xf numFmtId="0" fontId="98" fillId="0" borderId="3" xfId="0" applyFont="1" applyBorder="1" applyAlignment="1">
      <alignment horizontal="center" vertical="center" wrapText="1"/>
    </xf>
    <xf numFmtId="0" fontId="98" fillId="0" borderId="5" xfId="0" applyFont="1" applyBorder="1" applyAlignment="1">
      <alignment horizontal="center"/>
    </xf>
    <xf numFmtId="0" fontId="98" fillId="0" borderId="9" xfId="0" applyFont="1" applyBorder="1" applyAlignment="1">
      <alignment horizontal="center"/>
    </xf>
    <xf numFmtId="0" fontId="98" fillId="0" borderId="6" xfId="0" applyFont="1" applyBorder="1" applyAlignment="1">
      <alignment horizontal="center"/>
    </xf>
    <xf numFmtId="0" fontId="98" fillId="0" borderId="16" xfId="0" applyFont="1" applyBorder="1" applyAlignment="1">
      <alignment horizontal="left" wrapText="1"/>
    </xf>
    <xf numFmtId="0" fontId="98" fillId="0" borderId="0" xfId="0" applyFont="1" applyBorder="1" applyAlignment="1">
      <alignment horizontal="left" wrapText="1"/>
    </xf>
    <xf numFmtId="0" fontId="112" fillId="0" borderId="7" xfId="0" applyFont="1" applyBorder="1" applyAlignment="1">
      <alignment horizontal="center"/>
    </xf>
    <xf numFmtId="0" fontId="112" fillId="0" borderId="0" xfId="0" applyFont="1" applyAlignment="1">
      <alignment horizontal="center"/>
    </xf>
    <xf numFmtId="0" fontId="112" fillId="0" borderId="5" xfId="0" applyFont="1" applyBorder="1" applyAlignment="1">
      <alignment horizontal="center"/>
    </xf>
    <xf numFmtId="0" fontId="112" fillId="0" borderId="9" xfId="0" applyFont="1" applyBorder="1" applyAlignment="1">
      <alignment horizontal="center"/>
    </xf>
    <xf numFmtId="1" fontId="118" fillId="0" borderId="12" xfId="51" applyNumberFormat="1" applyFont="1" applyBorder="1" applyAlignment="1">
      <alignment horizontal="center" vertical="center" wrapText="1"/>
    </xf>
    <xf numFmtId="1" fontId="11" fillId="0" borderId="16" xfId="51" applyNumberFormat="1" applyFont="1" applyBorder="1" applyAlignment="1">
      <alignment horizontal="center" vertical="center" wrapText="1"/>
    </xf>
    <xf numFmtId="1" fontId="11" fillId="0" borderId="14" xfId="51" applyNumberFormat="1" applyFont="1" applyBorder="1" applyAlignment="1">
      <alignment horizontal="center" vertical="center" wrapText="1"/>
    </xf>
    <xf numFmtId="1" fontId="11" fillId="0" borderId="11" xfId="51" applyNumberFormat="1" applyFont="1" applyBorder="1" applyAlignment="1">
      <alignment horizontal="center" vertical="center" wrapText="1"/>
    </xf>
    <xf numFmtId="1" fontId="11" fillId="0" borderId="0" xfId="51" applyNumberFormat="1" applyFont="1" applyBorder="1" applyAlignment="1">
      <alignment horizontal="center" vertical="center" wrapText="1"/>
    </xf>
    <xf numFmtId="1" fontId="11" fillId="0" borderId="15" xfId="51" applyNumberFormat="1" applyFont="1" applyBorder="1" applyAlignment="1">
      <alignment horizontal="center" vertical="center" wrapText="1"/>
    </xf>
    <xf numFmtId="1" fontId="11" fillId="0" borderId="8" xfId="51" applyNumberFormat="1" applyFont="1" applyBorder="1" applyAlignment="1">
      <alignment horizontal="center" vertical="center" wrapText="1"/>
    </xf>
    <xf numFmtId="1" fontId="11" fillId="0" borderId="7" xfId="51" applyNumberFormat="1" applyFont="1" applyBorder="1" applyAlignment="1">
      <alignment horizontal="center" vertical="center" wrapText="1"/>
    </xf>
    <xf numFmtId="1" fontId="11" fillId="0" borderId="13" xfId="51" applyNumberFormat="1" applyFont="1" applyBorder="1" applyAlignment="1">
      <alignment horizontal="center" vertical="center" wrapText="1"/>
    </xf>
    <xf numFmtId="0" fontId="17" fillId="0" borderId="5" xfId="12" applyFont="1" applyBorder="1" applyAlignment="1">
      <alignment horizontal="center"/>
    </xf>
    <xf numFmtId="0" fontId="17" fillId="0" borderId="6" xfId="12" applyFont="1" applyBorder="1" applyAlignment="1">
      <alignment horizontal="center"/>
    </xf>
    <xf numFmtId="0" fontId="6" fillId="0" borderId="0" xfId="12" applyFont="1" applyAlignment="1">
      <alignment horizontal="center" vertical="top" wrapText="1"/>
    </xf>
    <xf numFmtId="0" fontId="6" fillId="0" borderId="0" xfId="12" applyFont="1" applyAlignment="1">
      <alignment horizontal="right" vertical="top" wrapText="1"/>
    </xf>
    <xf numFmtId="0" fontId="24" fillId="0" borderId="5" xfId="2" applyFont="1" applyBorder="1" applyAlignment="1">
      <alignment horizontal="center" vertical="center" wrapText="1"/>
    </xf>
    <xf numFmtId="0" fontId="24" fillId="0" borderId="9" xfId="2" applyFont="1" applyBorder="1" applyAlignment="1">
      <alignment horizontal="center" vertical="center" wrapText="1"/>
    </xf>
    <xf numFmtId="0" fontId="24" fillId="0" borderId="6" xfId="2" applyFont="1" applyBorder="1" applyAlignment="1">
      <alignment horizontal="center" vertical="center" wrapText="1"/>
    </xf>
    <xf numFmtId="0" fontId="27" fillId="0" borderId="0" xfId="2" applyFont="1" applyAlignment="1">
      <alignment horizontal="center"/>
    </xf>
    <xf numFmtId="0" fontId="26" fillId="0" borderId="2" xfId="2" applyFont="1" applyBorder="1" applyAlignment="1">
      <alignment horizontal="center" vertical="center" wrapText="1"/>
    </xf>
    <xf numFmtId="0" fontId="24" fillId="0" borderId="1" xfId="2" applyFont="1" applyBorder="1" applyAlignment="1">
      <alignment horizontal="center" vertical="center"/>
    </xf>
    <xf numFmtId="0" fontId="24" fillId="0" borderId="10" xfId="2" applyFont="1" applyBorder="1" applyAlignment="1">
      <alignment horizontal="center" vertical="center"/>
    </xf>
    <xf numFmtId="0" fontId="24" fillId="0" borderId="3" xfId="2" applyFont="1" applyBorder="1" applyAlignment="1">
      <alignment horizontal="center" vertical="center"/>
    </xf>
    <xf numFmtId="0" fontId="26" fillId="0" borderId="1"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12"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5" xfId="2" applyFont="1" applyBorder="1" applyAlignment="1">
      <alignment horizontal="center" vertical="center" wrapText="1"/>
    </xf>
    <xf numFmtId="0" fontId="24" fillId="0" borderId="2" xfId="2" applyFont="1" applyBorder="1" applyAlignment="1">
      <alignment horizontal="center" vertical="center" wrapText="1"/>
    </xf>
    <xf numFmtId="0" fontId="16" fillId="0" borderId="0" xfId="0" applyFont="1" applyAlignment="1">
      <alignment horizontal="justify" vertical="top" wrapText="1"/>
    </xf>
    <xf numFmtId="0" fontId="11" fillId="0" borderId="0" xfId="0" applyFont="1" applyAlignment="1">
      <alignment horizontal="justify" vertical="top" wrapText="1"/>
    </xf>
    <xf numFmtId="0" fontId="0" fillId="0" borderId="0" xfId="0" applyAlignment="1">
      <alignment wrapText="1"/>
    </xf>
    <xf numFmtId="0" fontId="6" fillId="0" borderId="5" xfId="9" applyFont="1" applyBorder="1" applyAlignment="1">
      <alignment horizontal="center" vertical="center"/>
    </xf>
    <xf numFmtId="0" fontId="6" fillId="0" borderId="6" xfId="9" applyFont="1" applyBorder="1" applyAlignment="1">
      <alignment horizontal="center" vertical="center"/>
    </xf>
    <xf numFmtId="0" fontId="7" fillId="0" borderId="0" xfId="9" applyFont="1" applyAlignment="1">
      <alignment horizontal="right"/>
    </xf>
    <xf numFmtId="0" fontId="8" fillId="0" borderId="0" xfId="9" applyFont="1" applyAlignment="1">
      <alignment horizontal="center"/>
    </xf>
    <xf numFmtId="0" fontId="9" fillId="0" borderId="0" xfId="9" applyFont="1" applyAlignment="1">
      <alignment horizontal="center"/>
    </xf>
    <xf numFmtId="0" fontId="6" fillId="0" borderId="0" xfId="9" applyFont="1" applyAlignment="1">
      <alignment horizontal="left"/>
    </xf>
    <xf numFmtId="0" fontId="21" fillId="0" borderId="5" xfId="9" applyFont="1" applyBorder="1" applyAlignment="1">
      <alignment horizontal="center" vertical="top" wrapText="1"/>
    </xf>
    <xf numFmtId="0" fontId="21" fillId="0" borderId="9" xfId="9" applyFont="1" applyBorder="1" applyAlignment="1">
      <alignment horizontal="center" vertical="top" wrapText="1"/>
    </xf>
    <xf numFmtId="0" fontId="21" fillId="0" borderId="6" xfId="9" applyFont="1" applyBorder="1" applyAlignment="1">
      <alignment horizontal="center" vertical="top" wrapText="1"/>
    </xf>
    <xf numFmtId="0" fontId="12" fillId="0" borderId="5" xfId="9" applyFont="1" applyBorder="1" applyAlignment="1">
      <alignment horizontal="center" vertical="top" wrapText="1"/>
    </xf>
    <xf numFmtId="0" fontId="12" fillId="0" borderId="6" xfId="9" applyFont="1" applyBorder="1" applyAlignment="1">
      <alignment horizontal="center" vertical="top" wrapText="1"/>
    </xf>
    <xf numFmtId="0" fontId="21" fillId="0" borderId="7" xfId="9" applyFont="1" applyBorder="1" applyAlignment="1">
      <alignment horizontal="center"/>
    </xf>
    <xf numFmtId="0" fontId="21" fillId="0" borderId="1" xfId="9" applyFont="1" applyBorder="1" applyAlignment="1">
      <alignment horizontal="center" vertical="top" wrapText="1"/>
    </xf>
    <xf numFmtId="0" fontId="21" fillId="0" borderId="3" xfId="9" applyFont="1" applyBorder="1" applyAlignment="1">
      <alignment horizontal="center" vertical="top" wrapText="1"/>
    </xf>
    <xf numFmtId="0" fontId="21" fillId="0" borderId="5" xfId="9" applyFont="1" applyBorder="1" applyAlignment="1">
      <alignment horizontal="center" vertical="top"/>
    </xf>
    <xf numFmtId="0" fontId="21" fillId="0" borderId="9" xfId="9" applyFont="1" applyBorder="1" applyAlignment="1">
      <alignment horizontal="center" vertical="top"/>
    </xf>
    <xf numFmtId="0" fontId="21" fillId="0" borderId="6" xfId="9" applyFont="1" applyBorder="1" applyAlignment="1">
      <alignment horizontal="center" vertical="top"/>
    </xf>
    <xf numFmtId="0" fontId="21" fillId="0" borderId="12" xfId="9" applyFont="1" applyBorder="1" applyAlignment="1">
      <alignment horizontal="center" vertical="top" wrapText="1"/>
    </xf>
    <xf numFmtId="0" fontId="21" fillId="0" borderId="16" xfId="9" applyFont="1" applyBorder="1" applyAlignment="1">
      <alignment horizontal="center" vertical="top" wrapText="1"/>
    </xf>
    <xf numFmtId="0" fontId="21" fillId="0" borderId="14" xfId="9" applyFont="1" applyBorder="1" applyAlignment="1">
      <alignment horizontal="center" vertical="top" wrapText="1"/>
    </xf>
    <xf numFmtId="0" fontId="21" fillId="0" borderId="8" xfId="9" applyFont="1" applyBorder="1" applyAlignment="1">
      <alignment horizontal="center" vertical="top" wrapText="1"/>
    </xf>
    <xf numFmtId="0" fontId="21" fillId="0" borderId="7" xfId="9" applyFont="1" applyBorder="1" applyAlignment="1">
      <alignment horizontal="center" vertical="top" wrapText="1"/>
    </xf>
    <xf numFmtId="0" fontId="21" fillId="0" borderId="13" xfId="9" applyFont="1" applyBorder="1" applyAlignment="1">
      <alignment horizontal="center" vertical="top" wrapText="1"/>
    </xf>
    <xf numFmtId="0" fontId="6" fillId="0" borderId="0" xfId="8" applyFont="1" applyAlignment="1">
      <alignment horizontal="center"/>
    </xf>
    <xf numFmtId="0" fontId="6" fillId="0" borderId="2" xfId="8" applyFont="1" applyBorder="1" applyAlignment="1">
      <alignment horizontal="center" vertical="top" wrapText="1"/>
    </xf>
    <xf numFmtId="0" fontId="6" fillId="0" borderId="2" xfId="8" applyFont="1" applyBorder="1" applyAlignment="1">
      <alignment horizontal="center"/>
    </xf>
    <xf numFmtId="0" fontId="16" fillId="0" borderId="0" xfId="8" applyFont="1" applyAlignment="1">
      <alignment horizontal="center"/>
    </xf>
    <xf numFmtId="0" fontId="9" fillId="0" borderId="0" xfId="8" applyFont="1" applyAlignment="1">
      <alignment horizontal="center" wrapText="1"/>
    </xf>
    <xf numFmtId="0" fontId="6" fillId="0" borderId="0" xfId="8" applyFont="1" applyAlignment="1">
      <alignment horizontal="left"/>
    </xf>
    <xf numFmtId="0" fontId="114" fillId="0" borderId="2" xfId="8" applyFont="1" applyBorder="1" applyAlignment="1">
      <alignment horizontal="center" vertical="center"/>
    </xf>
    <xf numFmtId="0" fontId="10" fillId="0" borderId="1" xfId="8" applyFont="1" applyBorder="1" applyAlignment="1">
      <alignment horizontal="center" vertical="center"/>
    </xf>
    <xf numFmtId="0" fontId="10" fillId="0" borderId="10" xfId="8" applyFont="1" applyBorder="1" applyAlignment="1">
      <alignment horizontal="center" vertical="center"/>
    </xf>
    <xf numFmtId="0" fontId="10" fillId="0" borderId="3" xfId="8" applyFont="1" applyBorder="1" applyAlignment="1">
      <alignment horizontal="center" vertical="center"/>
    </xf>
    <xf numFmtId="0" fontId="10" fillId="0" borderId="10" xfId="8" applyFont="1" applyBorder="1" applyAlignment="1">
      <alignment horizontal="center" vertical="top" wrapText="1"/>
    </xf>
    <xf numFmtId="0" fontId="10" fillId="0" borderId="3" xfId="8" applyFont="1" applyBorder="1" applyAlignment="1">
      <alignment horizontal="center" vertical="top" wrapText="1"/>
    </xf>
    <xf numFmtId="0" fontId="119" fillId="0" borderId="16" xfId="8" applyFont="1" applyBorder="1" applyAlignment="1">
      <alignment horizontal="left" vertical="center"/>
    </xf>
    <xf numFmtId="0" fontId="119" fillId="0" borderId="0" xfId="8" applyFont="1" applyBorder="1" applyAlignment="1">
      <alignment horizontal="left"/>
    </xf>
    <xf numFmtId="0" fontId="114" fillId="0" borderId="1" xfId="8" applyFont="1" applyBorder="1" applyAlignment="1">
      <alignment horizontal="center" vertical="center"/>
    </xf>
    <xf numFmtId="0" fontId="114" fillId="0" borderId="10" xfId="8" applyFont="1" applyBorder="1" applyAlignment="1">
      <alignment horizontal="center" vertical="center"/>
    </xf>
  </cellXfs>
  <cellStyles count="52">
    <cellStyle name="Comma 2" xfId="23"/>
    <cellStyle name="Comma 2 2" xfId="44"/>
    <cellStyle name="Normal" xfId="0" builtinId="0"/>
    <cellStyle name="Normal 2" xfId="1"/>
    <cellStyle name="Normal 2 10" xfId="25"/>
    <cellStyle name="Normal 2 10 2" xfId="45"/>
    <cellStyle name="Normal 2 11" xfId="32"/>
    <cellStyle name="Normal 2 2" xfId="2"/>
    <cellStyle name="Normal 2 2 2" xfId="3"/>
    <cellStyle name="Normal 2 2 3" xfId="4"/>
    <cellStyle name="Normal 2 2 3 2" xfId="19"/>
    <cellStyle name="Normal 2 2 3 2 2" xfId="41"/>
    <cellStyle name="Normal 2 2 3 3" xfId="27"/>
    <cellStyle name="Normal 2 2 3 3 2" xfId="47"/>
    <cellStyle name="Normal 2 2 3 4" xfId="34"/>
    <cellStyle name="Normal 2 2 4" xfId="17"/>
    <cellStyle name="Normal 2 2 4 2" xfId="39"/>
    <cellStyle name="Normal 2 2 5" xfId="26"/>
    <cellStyle name="Normal 2 2 5 2" xfId="46"/>
    <cellStyle name="Normal 2 2 6" xfId="33"/>
    <cellStyle name="Normal 2 3" xfId="20"/>
    <cellStyle name="Normal 2 4" xfId="5"/>
    <cellStyle name="Normal 2 4 2" xfId="18"/>
    <cellStyle name="Normal 2 4 2 2" xfId="40"/>
    <cellStyle name="Normal 2 4 3" xfId="28"/>
    <cellStyle name="Normal 2 4 3 2" xfId="48"/>
    <cellStyle name="Normal 2 4 4" xfId="35"/>
    <cellStyle name="Normal 2 5" xfId="21"/>
    <cellStyle name="Normal 2 5 2" xfId="42"/>
    <cellStyle name="Normal 2 6" xfId="22"/>
    <cellStyle name="Normal 2 6 2" xfId="43"/>
    <cellStyle name="Normal 2 7" xfId="6"/>
    <cellStyle name="Normal 2 7 2" xfId="29"/>
    <cellStyle name="Normal 2 7 2 2" xfId="49"/>
    <cellStyle name="Normal 2 7 3" xfId="36"/>
    <cellStyle name="Normal 2 7 4" xfId="51"/>
    <cellStyle name="Normal 2 8" xfId="7"/>
    <cellStyle name="Normal 2 8 2" xfId="30"/>
    <cellStyle name="Normal 2 8 2 2" xfId="50"/>
    <cellStyle name="Normal 2 8 3" xfId="37"/>
    <cellStyle name="Normal 2 9" xfId="15"/>
    <cellStyle name="Normal 2 9 2" xfId="38"/>
    <cellStyle name="Normal 3" xfId="8"/>
    <cellStyle name="Normal 3 2" xfId="9"/>
    <cellStyle name="Normal 4" xfId="10"/>
    <cellStyle name="Normal 5" xfId="11"/>
    <cellStyle name="Normal 5 2" xfId="16"/>
    <cellStyle name="Normal 5 3" xfId="31"/>
    <cellStyle name="Normal 6" xfId="12"/>
    <cellStyle name="Normal 7" xfId="13"/>
    <cellStyle name="Normal 8" xfId="14"/>
    <cellStyle name="Percent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551367"/>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 - GUJARAT</a:t>
          </a:r>
        </a:p>
        <a:p>
          <a:pPr algn="ctr">
            <a:lnSpc>
              <a:spcPts val="5100"/>
            </a:lnSpc>
          </a:pPr>
          <a:r>
            <a:rPr lang="en-US" sz="4400" b="1" cap="none" spc="300" baseline="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rPr>
            <a:t>Date of Submission - 29/05/2018</a:t>
          </a:r>
          <a:endParaRPr lang="en-US" sz="4400" b="1" cap="none" spc="300">
            <a:ln w="11430" cmpd="sng">
              <a:solidFill>
                <a:schemeClr val="accent1">
                  <a:tint val="10000"/>
                </a:schemeClr>
              </a:solidFill>
              <a:prstDash val="solid"/>
              <a:miter lim="800000"/>
            </a:ln>
            <a:solidFill>
              <a:sysClr val="windowText" lastClr="000000"/>
            </a:soli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a:extLst>
            <a:ext uri="{FF2B5EF4-FFF2-40B4-BE49-F238E27FC236}">
              <a16:creationId xmlns="" xmlns:a16="http://schemas.microsoft.com/office/drawing/2014/main" id="{00000000-0008-0000-0200-000002000000}"/>
            </a:ext>
          </a:extLst>
        </xdr:cNvPr>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solidFill>
                <a:sysClr val="windowText" lastClr="000000"/>
              </a:soli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solidFill>
                <a:sysClr val="windowText" lastClr="000000"/>
              </a:solidFill>
              <a:effectLst>
                <a:outerShdw blurRad="50800" algn="tl" rotWithShape="0">
                  <a:srgbClr val="000000"/>
                </a:outerShdw>
              </a:effectLst>
            </a:rPr>
            <a:t>2017-18</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AWP%2017%2018\AWP%2017%2018\AWP\2016-17\AWP&amp;B%202016-17\AWP%20&amp;%20B%202016-17\Final%20new%20AWP&amp;B%202016-17-Gujarat%20St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T-1-Gen_Info"/>
      <sheetName val="AT-2-S1 BUDGET"/>
      <sheetName val="AT-3"/>
      <sheetName val="AT3A_cvrg(Insti)_PY"/>
      <sheetName val="AT3B_cvrg(Insti)_UPY "/>
      <sheetName val="AT3C_cvrg(Insti)_UPY "/>
      <sheetName val="enrolment vs availed_PY"/>
      <sheetName val="enrolment vs availed_UPY"/>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1_KS Year wise"/>
      <sheetName val="AT11A_KS-District wise"/>
      <sheetName val="AT12_KD-New"/>
      <sheetName val="AT12A_KD-Replacement"/>
      <sheetName val="AT13_NoWD"/>
      <sheetName val="AT13A_NoWD"/>
      <sheetName val="AT14_Req_FG_CA_Pry"/>
      <sheetName val="AT14A_Req_FG_CA_UPry "/>
      <sheetName val="AT14B_Req_FG_CA_NCLP"/>
      <sheetName val="AT14C_Req_FG_CA_Drought-Pry"/>
      <sheetName val="AT14D_Req_FG_CA_Drought-UPry"/>
      <sheetName val="AT_15_RqmtKitchen"/>
      <sheetName val="AT-15A_RqmtPlinthArea"/>
      <sheetName val="AT16_K_D"/>
      <sheetName val="AT-17_Coook-cum-Helper"/>
      <sheetName val="AT18_Details_Community "/>
      <sheetName val="AT_19_Impl_Agency"/>
      <sheetName val="AT_20_SchoolCookingagency "/>
      <sheetName val="AT_20A_CentralCookingagency "/>
      <sheetName val="AT_21_Coverage-RBSK "/>
      <sheetName val="AT_22_Budget_provision_11-121 "/>
      <sheetName val="AT_23_fundflow"/>
      <sheetName val="AT-24"/>
      <sheetName val="AT-25"/>
      <sheetName val="AT-26"/>
      <sheetName val="AT-27"/>
      <sheetName val="AT-28"/>
      <sheetName val="AT-29"/>
      <sheetName val="AT-30"/>
      <sheetName val="AT-31"/>
      <sheetName val="AT-32"/>
      <sheetName val="AT-33"/>
      <sheetName val="AT-33 A"/>
      <sheetName val="AT-34"/>
      <sheetName val="AT-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3">
          <cell r="C13">
            <v>4310.4598313986535</v>
          </cell>
        </row>
        <row r="14">
          <cell r="C14">
            <v>2450.4430251937683</v>
          </cell>
        </row>
        <row r="15">
          <cell r="C15">
            <v>4387.5891515280091</v>
          </cell>
        </row>
        <row r="16">
          <cell r="C16">
            <v>3372.4324577499515</v>
          </cell>
        </row>
        <row r="17">
          <cell r="C17">
            <v>7647.3901267021229</v>
          </cell>
        </row>
        <row r="18">
          <cell r="C18">
            <v>3071.2492431149317</v>
          </cell>
        </row>
        <row r="19">
          <cell r="C19">
            <v>2134.9177527189854</v>
          </cell>
        </row>
        <row r="20">
          <cell r="C20">
            <v>1884.4654704614732</v>
          </cell>
        </row>
        <row r="21">
          <cell r="C21">
            <v>5152.8964952862261</v>
          </cell>
        </row>
        <row r="22">
          <cell r="C22">
            <v>1349.5998793053452</v>
          </cell>
        </row>
        <row r="23">
          <cell r="C23">
            <v>698.66310333701915</v>
          </cell>
        </row>
        <row r="24">
          <cell r="C24">
            <v>4164.7500921159881</v>
          </cell>
        </row>
        <row r="25">
          <cell r="C25">
            <v>5359.8319012599477</v>
          </cell>
        </row>
        <row r="26">
          <cell r="C26">
            <v>1028.722781121247</v>
          </cell>
        </row>
        <row r="27">
          <cell r="C27">
            <v>2387.1252665780867</v>
          </cell>
        </row>
        <row r="28">
          <cell r="C28">
            <v>883.06098984825576</v>
          </cell>
        </row>
        <row r="29">
          <cell r="C29">
            <v>1964.8619240475114</v>
          </cell>
        </row>
        <row r="30">
          <cell r="C30">
            <v>2500.6402276329377</v>
          </cell>
        </row>
        <row r="31">
          <cell r="C31">
            <v>2216.1802347003718</v>
          </cell>
        </row>
        <row r="32">
          <cell r="C32">
            <v>3989.734940431661</v>
          </cell>
        </row>
        <row r="33">
          <cell r="C33">
            <v>4050.6207125325409</v>
          </cell>
        </row>
        <row r="34">
          <cell r="C34">
            <v>3101.8786829323308</v>
          </cell>
        </row>
        <row r="35">
          <cell r="C35">
            <v>2628.2798651198623</v>
          </cell>
        </row>
        <row r="36">
          <cell r="C36">
            <v>1434.2057839762856</v>
          </cell>
        </row>
        <row r="37">
          <cell r="C37">
            <v>823.64389308352395</v>
          </cell>
        </row>
        <row r="38">
          <cell r="C38">
            <v>1803.001556998759</v>
          </cell>
        </row>
        <row r="39">
          <cell r="C39">
            <v>3716.019383436987</v>
          </cell>
        </row>
        <row r="40">
          <cell r="C40">
            <v>1760.3268163597995</v>
          </cell>
        </row>
        <row r="41">
          <cell r="C41">
            <v>3633.5994573530888</v>
          </cell>
        </row>
        <row r="42">
          <cell r="C42">
            <v>372.41596230502114</v>
          </cell>
        </row>
        <row r="43">
          <cell r="C43">
            <v>1843.7642723953506</v>
          </cell>
        </row>
        <row r="44">
          <cell r="C44">
            <v>3256.0958452898026</v>
          </cell>
        </row>
        <row r="45">
          <cell r="C45">
            <v>1752.1865767465749</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12">
          <cell r="D12">
            <v>2</v>
          </cell>
          <cell r="E12">
            <v>497</v>
          </cell>
        </row>
        <row r="13">
          <cell r="D13">
            <v>0</v>
          </cell>
          <cell r="E13">
            <v>0</v>
          </cell>
          <cell r="F13">
            <v>0</v>
          </cell>
        </row>
        <row r="14">
          <cell r="D14">
            <v>0</v>
          </cell>
          <cell r="E14">
            <v>0</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20">
          <cell r="D20">
            <v>0</v>
          </cell>
          <cell r="E20">
            <v>0</v>
          </cell>
          <cell r="F20">
            <v>0</v>
          </cell>
        </row>
        <row r="21">
          <cell r="D21">
            <v>0</v>
          </cell>
          <cell r="E21">
            <v>0</v>
          </cell>
          <cell r="F21">
            <v>0</v>
          </cell>
        </row>
        <row r="22">
          <cell r="D22">
            <v>1</v>
          </cell>
          <cell r="E22">
            <v>430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8">
          <cell r="D28">
            <v>0</v>
          </cell>
          <cell r="E28">
            <v>0</v>
          </cell>
          <cell r="F28">
            <v>0</v>
          </cell>
        </row>
        <row r="29">
          <cell r="D29">
            <v>0</v>
          </cell>
          <cell r="E29">
            <v>0</v>
          </cell>
          <cell r="F29">
            <v>0</v>
          </cell>
        </row>
        <row r="31">
          <cell r="D31">
            <v>0</v>
          </cell>
          <cell r="E31">
            <v>0</v>
          </cell>
          <cell r="F31">
            <v>0</v>
          </cell>
        </row>
        <row r="32">
          <cell r="D32">
            <v>1</v>
          </cell>
          <cell r="E32">
            <v>350</v>
          </cell>
        </row>
        <row r="33">
          <cell r="D33">
            <v>0</v>
          </cell>
          <cell r="E33">
            <v>0</v>
          </cell>
          <cell r="F33">
            <v>0</v>
          </cell>
        </row>
        <row r="34">
          <cell r="D34">
            <v>1</v>
          </cell>
        </row>
        <row r="35">
          <cell r="D35">
            <v>1</v>
          </cell>
          <cell r="E35">
            <v>545</v>
          </cell>
        </row>
        <row r="36">
          <cell r="D36">
            <v>1</v>
          </cell>
          <cell r="E36">
            <v>740</v>
          </cell>
        </row>
        <row r="37">
          <cell r="D37">
            <v>0</v>
          </cell>
          <cell r="E37">
            <v>0</v>
          </cell>
          <cell r="F37">
            <v>0</v>
          </cell>
        </row>
        <row r="38">
          <cell r="D38">
            <v>0</v>
          </cell>
          <cell r="E38">
            <v>0</v>
          </cell>
          <cell r="F38">
            <v>0</v>
          </cell>
        </row>
        <row r="39">
          <cell r="D39">
            <v>0</v>
          </cell>
          <cell r="E39">
            <v>0</v>
          </cell>
          <cell r="F39">
            <v>0</v>
          </cell>
        </row>
        <row r="40">
          <cell r="D40">
            <v>0</v>
          </cell>
          <cell r="E40">
            <v>0</v>
          </cell>
          <cell r="F40">
            <v>0</v>
          </cell>
        </row>
        <row r="41">
          <cell r="D41">
            <v>0</v>
          </cell>
          <cell r="E41">
            <v>0</v>
          </cell>
          <cell r="F41">
            <v>0</v>
          </cell>
        </row>
        <row r="42">
          <cell r="D42">
            <v>0</v>
          </cell>
          <cell r="E42">
            <v>0</v>
          </cell>
          <cell r="F42">
            <v>0</v>
          </cell>
        </row>
        <row r="43">
          <cell r="D43">
            <v>0</v>
          </cell>
          <cell r="E43">
            <v>0</v>
          </cell>
          <cell r="F43">
            <v>0</v>
          </cell>
        </row>
        <row r="44">
          <cell r="D44">
            <v>0</v>
          </cell>
          <cell r="E44">
            <v>0</v>
          </cell>
          <cell r="F44">
            <v>0</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row r="9">
          <cell r="H9">
            <v>602</v>
          </cell>
        </row>
        <row r="10">
          <cell r="H10">
            <v>0</v>
          </cell>
          <cell r="K10">
            <v>0</v>
          </cell>
        </row>
        <row r="13">
          <cell r="K13">
            <v>0</v>
          </cell>
        </row>
        <row r="14">
          <cell r="K14">
            <v>0</v>
          </cell>
        </row>
        <row r="15">
          <cell r="K15">
            <v>0</v>
          </cell>
        </row>
        <row r="17">
          <cell r="K17">
            <v>0</v>
          </cell>
        </row>
        <row r="18">
          <cell r="H18">
            <v>0</v>
          </cell>
          <cell r="K18">
            <v>0</v>
          </cell>
        </row>
        <row r="19">
          <cell r="H19">
            <v>505</v>
          </cell>
          <cell r="K19">
            <v>35.35</v>
          </cell>
        </row>
        <row r="20">
          <cell r="H20">
            <v>0</v>
          </cell>
          <cell r="K20">
            <v>0</v>
          </cell>
        </row>
        <row r="21">
          <cell r="H21">
            <v>0</v>
          </cell>
          <cell r="K21">
            <v>0</v>
          </cell>
        </row>
        <row r="23">
          <cell r="H23">
            <v>0</v>
          </cell>
          <cell r="K23">
            <v>0</v>
          </cell>
        </row>
        <row r="24">
          <cell r="H24">
            <v>0</v>
          </cell>
          <cell r="K24">
            <v>0</v>
          </cell>
        </row>
        <row r="25">
          <cell r="H25">
            <v>0</v>
          </cell>
          <cell r="K25">
            <v>0</v>
          </cell>
        </row>
        <row r="26">
          <cell r="H26">
            <v>0</v>
          </cell>
          <cell r="K26">
            <v>0</v>
          </cell>
        </row>
        <row r="28">
          <cell r="H28">
            <v>0</v>
          </cell>
          <cell r="K28">
            <v>0</v>
          </cell>
        </row>
        <row r="29">
          <cell r="H29">
            <v>520</v>
          </cell>
          <cell r="K29">
            <v>36.4</v>
          </cell>
        </row>
        <row r="30">
          <cell r="H30">
            <v>0</v>
          </cell>
          <cell r="K30">
            <v>0</v>
          </cell>
        </row>
        <row r="31">
          <cell r="H31">
            <v>732</v>
          </cell>
          <cell r="K31">
            <v>51.239999999999995</v>
          </cell>
        </row>
        <row r="32">
          <cell r="H32">
            <v>655</v>
          </cell>
          <cell r="K32">
            <v>45.85</v>
          </cell>
        </row>
        <row r="33">
          <cell r="H33">
            <v>861</v>
          </cell>
          <cell r="K33">
            <v>60.269999999999996</v>
          </cell>
        </row>
        <row r="34">
          <cell r="H34">
            <v>0</v>
          </cell>
          <cell r="K34">
            <v>0</v>
          </cell>
        </row>
        <row r="35">
          <cell r="H35">
            <v>0</v>
          </cell>
          <cell r="K35">
            <v>0</v>
          </cell>
        </row>
        <row r="36">
          <cell r="H36">
            <v>0</v>
          </cell>
          <cell r="K36">
            <v>0</v>
          </cell>
        </row>
        <row r="37">
          <cell r="H37">
            <v>0</v>
          </cell>
          <cell r="K37">
            <v>0</v>
          </cell>
        </row>
        <row r="38">
          <cell r="H38">
            <v>0</v>
          </cell>
          <cell r="K38">
            <v>0</v>
          </cell>
        </row>
        <row r="39">
          <cell r="H39">
            <v>0</v>
          </cell>
          <cell r="K39">
            <v>0</v>
          </cell>
        </row>
        <row r="40">
          <cell r="H40">
            <v>0</v>
          </cell>
          <cell r="K40">
            <v>0</v>
          </cell>
        </row>
        <row r="41">
          <cell r="H41">
            <v>0</v>
          </cell>
          <cell r="K41">
            <v>0</v>
          </cell>
        </row>
      </sheetData>
      <sheetData sheetId="53" refreshError="1">
        <row r="9">
          <cell r="C9">
            <v>2</v>
          </cell>
        </row>
        <row r="25">
          <cell r="C25">
            <v>0</v>
          </cell>
        </row>
        <row r="31">
          <cell r="C31">
            <v>1</v>
          </cell>
        </row>
        <row r="32">
          <cell r="C32">
            <v>1</v>
          </cell>
        </row>
        <row r="33">
          <cell r="C33">
            <v>1</v>
          </cell>
        </row>
        <row r="34">
          <cell r="C34">
            <v>0</v>
          </cell>
        </row>
        <row r="35">
          <cell r="C35">
            <v>0</v>
          </cell>
        </row>
        <row r="36">
          <cell r="C36">
            <v>0</v>
          </cell>
        </row>
        <row r="37">
          <cell r="C37">
            <v>0</v>
          </cell>
        </row>
        <row r="38">
          <cell r="C38">
            <v>0</v>
          </cell>
        </row>
        <row r="39">
          <cell r="C39">
            <v>0</v>
          </cell>
        </row>
        <row r="40">
          <cell r="C40">
            <v>0</v>
          </cell>
        </row>
        <row r="41">
          <cell r="C41">
            <v>0</v>
          </cell>
        </row>
      </sheetData>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topLeftCell="A10" zoomScaleSheetLayoutView="90" workbookViewId="0">
      <selection activeCell="E13" sqref="E13"/>
    </sheetView>
  </sheetViews>
  <sheetFormatPr defaultRowHeight="12.75"/>
  <cols>
    <col min="15" max="15" width="12.42578125" customWidth="1"/>
  </cols>
  <sheetData/>
  <printOptions horizontalCentered="1"/>
  <pageMargins left="0.70866141732283472" right="0.70866141732283472" top="0.63" bottom="0" header="0.79" footer="0.31496062992125984"/>
  <pageSetup paperSize="9" scale="97"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S57"/>
  <sheetViews>
    <sheetView topLeftCell="D41" zoomScaleSheetLayoutView="80" workbookViewId="0">
      <selection activeCell="E13" sqref="E13"/>
    </sheetView>
  </sheetViews>
  <sheetFormatPr defaultRowHeight="12.75"/>
  <cols>
    <col min="2" max="2" width="19.28515625" customWidth="1"/>
    <col min="3" max="3" width="11.28515625" customWidth="1"/>
    <col min="5" max="5" width="9.42578125" customWidth="1"/>
    <col min="6" max="6" width="9.7109375" customWidth="1"/>
    <col min="7" max="7" width="8.7109375" customWidth="1"/>
    <col min="8" max="8" width="10.42578125" customWidth="1"/>
    <col min="9" max="9" width="9.7109375" customWidth="1"/>
    <col min="11" max="11" width="11.7109375" customWidth="1"/>
    <col min="12" max="12" width="9.42578125" customWidth="1"/>
    <col min="13" max="13" width="12" customWidth="1"/>
    <col min="14" max="14" width="14.28515625" customWidth="1"/>
  </cols>
  <sheetData>
    <row r="1" spans="1:19" ht="12.75" customHeight="1">
      <c r="D1" s="1114"/>
      <c r="E1" s="1114"/>
      <c r="F1" s="1114"/>
      <c r="G1" s="1114"/>
      <c r="H1" s="1114"/>
      <c r="I1" s="1114"/>
      <c r="J1" s="1114"/>
      <c r="M1" s="97" t="s">
        <v>260</v>
      </c>
    </row>
    <row r="2" spans="1:19" ht="15">
      <c r="A2" s="1190" t="s">
        <v>0</v>
      </c>
      <c r="B2" s="1190"/>
      <c r="C2" s="1190"/>
      <c r="D2" s="1190"/>
      <c r="E2" s="1190"/>
      <c r="F2" s="1190"/>
      <c r="G2" s="1190"/>
      <c r="H2" s="1190"/>
      <c r="I2" s="1190"/>
      <c r="J2" s="1190"/>
      <c r="K2" s="1190"/>
      <c r="L2" s="1190"/>
      <c r="M2" s="1190"/>
      <c r="N2" s="1190"/>
    </row>
    <row r="3" spans="1:19" ht="20.25">
      <c r="A3" s="1112" t="s">
        <v>636</v>
      </c>
      <c r="B3" s="1112"/>
      <c r="C3" s="1112"/>
      <c r="D3" s="1112"/>
      <c r="E3" s="1112"/>
      <c r="F3" s="1112"/>
      <c r="G3" s="1112"/>
      <c r="H3" s="1112"/>
      <c r="I3" s="1112"/>
      <c r="J3" s="1112"/>
      <c r="K3" s="1112"/>
      <c r="L3" s="1112"/>
      <c r="M3" s="1112"/>
      <c r="N3" s="1112"/>
    </row>
    <row r="4" spans="1:19" ht="11.25" customHeight="1"/>
    <row r="5" spans="1:19" ht="15.75">
      <c r="A5" s="1113" t="s">
        <v>643</v>
      </c>
      <c r="B5" s="1113"/>
      <c r="C5" s="1113"/>
      <c r="D5" s="1113"/>
      <c r="E5" s="1113"/>
      <c r="F5" s="1113"/>
      <c r="G5" s="1113"/>
      <c r="H5" s="1113"/>
      <c r="I5" s="1113"/>
      <c r="J5" s="1113"/>
      <c r="K5" s="1113"/>
      <c r="L5" s="1113"/>
      <c r="M5" s="1113"/>
      <c r="N5" s="1113"/>
    </row>
    <row r="7" spans="1:19">
      <c r="A7" s="1092" t="s">
        <v>1045</v>
      </c>
      <c r="B7" s="1092"/>
      <c r="L7" s="1180" t="s">
        <v>792</v>
      </c>
      <c r="M7" s="1180"/>
      <c r="N7" s="1180"/>
      <c r="O7" s="103"/>
    </row>
    <row r="8" spans="1:19" ht="15.75" customHeight="1">
      <c r="A8" s="1181" t="s">
        <v>2</v>
      </c>
      <c r="B8" s="1181" t="s">
        <v>3</v>
      </c>
      <c r="C8" s="1066" t="s">
        <v>4</v>
      </c>
      <c r="D8" s="1066"/>
      <c r="E8" s="1066"/>
      <c r="F8" s="1070"/>
      <c r="G8" s="1070"/>
      <c r="H8" s="1066" t="s">
        <v>101</v>
      </c>
      <c r="I8" s="1066"/>
      <c r="J8" s="1066"/>
      <c r="K8" s="1066"/>
      <c r="L8" s="1066"/>
      <c r="M8" s="1181" t="s">
        <v>134</v>
      </c>
      <c r="N8" s="1083" t="s">
        <v>135</v>
      </c>
    </row>
    <row r="9" spans="1:19" ht="51">
      <c r="A9" s="1182"/>
      <c r="B9" s="1182"/>
      <c r="C9" s="5" t="s">
        <v>5</v>
      </c>
      <c r="D9" s="5" t="s">
        <v>6</v>
      </c>
      <c r="E9" s="5" t="s">
        <v>356</v>
      </c>
      <c r="F9" s="5" t="s">
        <v>99</v>
      </c>
      <c r="G9" s="5" t="s">
        <v>117</v>
      </c>
      <c r="H9" s="5" t="s">
        <v>5</v>
      </c>
      <c r="I9" s="5" t="s">
        <v>6</v>
      </c>
      <c r="J9" s="5" t="s">
        <v>356</v>
      </c>
      <c r="K9" s="7" t="s">
        <v>99</v>
      </c>
      <c r="L9" s="7" t="s">
        <v>118</v>
      </c>
      <c r="M9" s="1182"/>
      <c r="N9" s="1083"/>
      <c r="R9" s="13"/>
      <c r="S9" s="13"/>
    </row>
    <row r="10" spans="1:19" s="15" customFormat="1">
      <c r="A10" s="5">
        <v>1</v>
      </c>
      <c r="B10" s="5">
        <v>2</v>
      </c>
      <c r="C10" s="5">
        <v>3</v>
      </c>
      <c r="D10" s="5">
        <v>4</v>
      </c>
      <c r="E10" s="5">
        <v>5</v>
      </c>
      <c r="F10" s="5">
        <v>6</v>
      </c>
      <c r="G10" s="5">
        <v>7</v>
      </c>
      <c r="H10" s="5">
        <v>8</v>
      </c>
      <c r="I10" s="5">
        <v>9</v>
      </c>
      <c r="J10" s="5">
        <v>10</v>
      </c>
      <c r="K10" s="3">
        <v>11</v>
      </c>
      <c r="L10" s="102">
        <v>12</v>
      </c>
      <c r="M10" s="102">
        <v>13</v>
      </c>
      <c r="N10" s="3">
        <v>14</v>
      </c>
    </row>
    <row r="11" spans="1:19" ht="15">
      <c r="A11" s="3">
        <v>1</v>
      </c>
      <c r="B11" s="557" t="s">
        <v>825</v>
      </c>
      <c r="C11" s="571">
        <v>142</v>
      </c>
      <c r="D11" s="571">
        <v>0</v>
      </c>
      <c r="E11" s="571">
        <v>0</v>
      </c>
      <c r="F11" s="571">
        <v>0</v>
      </c>
      <c r="G11" s="571">
        <f>C11+D11+E11+F11</f>
        <v>142</v>
      </c>
      <c r="H11" s="571">
        <v>142</v>
      </c>
      <c r="I11" s="571">
        <v>0</v>
      </c>
      <c r="J11" s="571">
        <v>0</v>
      </c>
      <c r="K11" s="571">
        <v>0</v>
      </c>
      <c r="L11" s="571">
        <f>H11+I11+J11+K11</f>
        <v>142</v>
      </c>
      <c r="M11" s="571">
        <f>G11-L11</f>
        <v>0</v>
      </c>
      <c r="N11" s="571"/>
    </row>
    <row r="12" spans="1:19" ht="15">
      <c r="A12" s="3">
        <v>2</v>
      </c>
      <c r="B12" s="557" t="s">
        <v>826</v>
      </c>
      <c r="C12" s="571">
        <v>0</v>
      </c>
      <c r="D12" s="571">
        <v>4</v>
      </c>
      <c r="E12" s="571">
        <v>0</v>
      </c>
      <c r="F12" s="571">
        <v>0</v>
      </c>
      <c r="G12" s="571">
        <f t="shared" ref="G12:G43" si="0">C12+D12+E12+F12</f>
        <v>4</v>
      </c>
      <c r="H12" s="571">
        <v>0</v>
      </c>
      <c r="I12" s="571">
        <v>4</v>
      </c>
      <c r="J12" s="571">
        <v>0</v>
      </c>
      <c r="K12" s="571">
        <v>0</v>
      </c>
      <c r="L12" s="571">
        <f t="shared" ref="L12:L43" si="1">H12+I12+J12+K12</f>
        <v>4</v>
      </c>
      <c r="M12" s="571">
        <f t="shared" ref="M12:M43" si="2">G12-L12</f>
        <v>0</v>
      </c>
      <c r="N12" s="571"/>
    </row>
    <row r="13" spans="1:19" ht="15">
      <c r="A13" s="3">
        <v>3</v>
      </c>
      <c r="B13" s="557" t="s">
        <v>827</v>
      </c>
      <c r="C13" s="571">
        <v>0</v>
      </c>
      <c r="D13" s="571">
        <v>0</v>
      </c>
      <c r="E13" s="571">
        <v>0</v>
      </c>
      <c r="F13" s="571">
        <v>0</v>
      </c>
      <c r="G13" s="571">
        <f t="shared" si="0"/>
        <v>0</v>
      </c>
      <c r="H13" s="571">
        <v>0</v>
      </c>
      <c r="I13" s="571">
        <v>0</v>
      </c>
      <c r="J13" s="571">
        <v>0</v>
      </c>
      <c r="K13" s="571">
        <v>0</v>
      </c>
      <c r="L13" s="571">
        <f t="shared" si="1"/>
        <v>0</v>
      </c>
      <c r="M13" s="571">
        <f t="shared" si="2"/>
        <v>0</v>
      </c>
      <c r="N13" s="571"/>
    </row>
    <row r="14" spans="1:19" ht="15">
      <c r="A14" s="3">
        <v>4</v>
      </c>
      <c r="B14" s="557" t="s">
        <v>828</v>
      </c>
      <c r="C14" s="571">
        <v>3</v>
      </c>
      <c r="D14" s="571">
        <v>10</v>
      </c>
      <c r="E14" s="571">
        <v>0</v>
      </c>
      <c r="F14" s="571">
        <v>0</v>
      </c>
      <c r="G14" s="571">
        <f t="shared" si="0"/>
        <v>13</v>
      </c>
      <c r="H14" s="571">
        <v>3</v>
      </c>
      <c r="I14" s="571">
        <v>10</v>
      </c>
      <c r="J14" s="571">
        <v>0</v>
      </c>
      <c r="K14" s="571">
        <v>0</v>
      </c>
      <c r="L14" s="571">
        <f t="shared" si="1"/>
        <v>13</v>
      </c>
      <c r="M14" s="571">
        <f t="shared" si="2"/>
        <v>0</v>
      </c>
      <c r="N14" s="571"/>
    </row>
    <row r="15" spans="1:19" ht="15">
      <c r="A15" s="3">
        <v>5</v>
      </c>
      <c r="B15" s="557" t="s">
        <v>829</v>
      </c>
      <c r="C15" s="571">
        <v>0</v>
      </c>
      <c r="D15" s="571">
        <v>0</v>
      </c>
      <c r="E15" s="571">
        <v>0</v>
      </c>
      <c r="F15" s="571">
        <v>0</v>
      </c>
      <c r="G15" s="571">
        <f t="shared" si="0"/>
        <v>0</v>
      </c>
      <c r="H15" s="571">
        <v>0</v>
      </c>
      <c r="I15" s="571">
        <v>0</v>
      </c>
      <c r="J15" s="571">
        <v>0</v>
      </c>
      <c r="K15" s="571">
        <v>0</v>
      </c>
      <c r="L15" s="571">
        <f t="shared" si="1"/>
        <v>0</v>
      </c>
      <c r="M15" s="571">
        <f t="shared" si="2"/>
        <v>0</v>
      </c>
      <c r="N15" s="571"/>
    </row>
    <row r="16" spans="1:19" ht="15">
      <c r="A16" s="3">
        <v>6</v>
      </c>
      <c r="B16" s="557" t="s">
        <v>830</v>
      </c>
      <c r="C16" s="571">
        <v>15</v>
      </c>
      <c r="D16" s="571">
        <v>0</v>
      </c>
      <c r="E16" s="571">
        <v>0</v>
      </c>
      <c r="F16" s="571">
        <v>0</v>
      </c>
      <c r="G16" s="571">
        <f t="shared" si="0"/>
        <v>15</v>
      </c>
      <c r="H16" s="571">
        <v>15</v>
      </c>
      <c r="I16" s="571">
        <v>0</v>
      </c>
      <c r="J16" s="571">
        <v>0</v>
      </c>
      <c r="K16" s="571">
        <v>0</v>
      </c>
      <c r="L16" s="571">
        <f t="shared" si="1"/>
        <v>15</v>
      </c>
      <c r="M16" s="571">
        <f t="shared" si="2"/>
        <v>0</v>
      </c>
      <c r="N16" s="571"/>
    </row>
    <row r="17" spans="1:14" ht="15">
      <c r="A17" s="3">
        <v>7</v>
      </c>
      <c r="B17" s="557" t="s">
        <v>831</v>
      </c>
      <c r="C17" s="571">
        <v>0</v>
      </c>
      <c r="D17" s="571">
        <v>0</v>
      </c>
      <c r="E17" s="571">
        <v>0</v>
      </c>
      <c r="F17" s="571">
        <v>0</v>
      </c>
      <c r="G17" s="571">
        <f t="shared" si="0"/>
        <v>0</v>
      </c>
      <c r="H17" s="571">
        <v>0</v>
      </c>
      <c r="I17" s="571">
        <v>0</v>
      </c>
      <c r="J17" s="571">
        <v>0</v>
      </c>
      <c r="K17" s="571">
        <v>0</v>
      </c>
      <c r="L17" s="571">
        <f t="shared" si="1"/>
        <v>0</v>
      </c>
      <c r="M17" s="571">
        <f t="shared" si="2"/>
        <v>0</v>
      </c>
      <c r="N17" s="571"/>
    </row>
    <row r="18" spans="1:14" ht="15">
      <c r="A18" s="3">
        <v>8</v>
      </c>
      <c r="B18" s="557" t="s">
        <v>832</v>
      </c>
      <c r="C18" s="571">
        <v>5</v>
      </c>
      <c r="D18" s="571">
        <v>0</v>
      </c>
      <c r="E18" s="571">
        <v>0</v>
      </c>
      <c r="F18" s="571">
        <v>0</v>
      </c>
      <c r="G18" s="571">
        <f t="shared" si="0"/>
        <v>5</v>
      </c>
      <c r="H18" s="571">
        <v>5</v>
      </c>
      <c r="I18" s="571">
        <v>0</v>
      </c>
      <c r="J18" s="571">
        <v>0</v>
      </c>
      <c r="K18" s="571">
        <v>0</v>
      </c>
      <c r="L18" s="571">
        <f t="shared" si="1"/>
        <v>5</v>
      </c>
      <c r="M18" s="571">
        <f t="shared" si="2"/>
        <v>0</v>
      </c>
      <c r="N18" s="571"/>
    </row>
    <row r="19" spans="1:14" ht="15">
      <c r="A19" s="3">
        <v>9</v>
      </c>
      <c r="B19" s="557" t="s">
        <v>833</v>
      </c>
      <c r="C19" s="571">
        <v>0</v>
      </c>
      <c r="D19" s="571">
        <v>0</v>
      </c>
      <c r="E19" s="571">
        <v>0</v>
      </c>
      <c r="F19" s="571">
        <v>0</v>
      </c>
      <c r="G19" s="571">
        <f t="shared" si="0"/>
        <v>0</v>
      </c>
      <c r="H19" s="571">
        <v>0</v>
      </c>
      <c r="I19" s="571">
        <v>0</v>
      </c>
      <c r="J19" s="571">
        <v>0</v>
      </c>
      <c r="K19" s="571">
        <v>0</v>
      </c>
      <c r="L19" s="571">
        <f t="shared" si="1"/>
        <v>0</v>
      </c>
      <c r="M19" s="571">
        <f t="shared" si="2"/>
        <v>0</v>
      </c>
      <c r="N19" s="571"/>
    </row>
    <row r="20" spans="1:14" ht="15">
      <c r="A20" s="3">
        <v>10</v>
      </c>
      <c r="B20" s="557" t="s">
        <v>834</v>
      </c>
      <c r="C20" s="571">
        <v>0</v>
      </c>
      <c r="D20" s="571">
        <v>0</v>
      </c>
      <c r="E20" s="571">
        <v>0</v>
      </c>
      <c r="F20" s="571">
        <v>0</v>
      </c>
      <c r="G20" s="571">
        <f t="shared" si="0"/>
        <v>0</v>
      </c>
      <c r="H20" s="571">
        <v>0</v>
      </c>
      <c r="I20" s="571">
        <v>0</v>
      </c>
      <c r="J20" s="571">
        <v>0</v>
      </c>
      <c r="K20" s="571">
        <v>0</v>
      </c>
      <c r="L20" s="571">
        <f t="shared" si="1"/>
        <v>0</v>
      </c>
      <c r="M20" s="571">
        <f t="shared" si="2"/>
        <v>0</v>
      </c>
      <c r="N20" s="571"/>
    </row>
    <row r="21" spans="1:14" ht="15">
      <c r="A21" s="3">
        <v>11</v>
      </c>
      <c r="B21" s="557" t="s">
        <v>835</v>
      </c>
      <c r="C21" s="571">
        <v>0</v>
      </c>
      <c r="D21" s="571">
        <v>0</v>
      </c>
      <c r="E21" s="571">
        <v>0</v>
      </c>
      <c r="F21" s="571">
        <v>0</v>
      </c>
      <c r="G21" s="571">
        <f t="shared" si="0"/>
        <v>0</v>
      </c>
      <c r="H21" s="571">
        <v>0</v>
      </c>
      <c r="I21" s="571">
        <v>0</v>
      </c>
      <c r="J21" s="571">
        <v>0</v>
      </c>
      <c r="K21" s="571">
        <v>0</v>
      </c>
      <c r="L21" s="571">
        <f t="shared" si="1"/>
        <v>0</v>
      </c>
      <c r="M21" s="571">
        <f t="shared" si="2"/>
        <v>0</v>
      </c>
      <c r="N21" s="571"/>
    </row>
    <row r="22" spans="1:14" ht="15">
      <c r="A22" s="3">
        <v>12</v>
      </c>
      <c r="B22" s="557" t="s">
        <v>836</v>
      </c>
      <c r="C22" s="571">
        <v>110</v>
      </c>
      <c r="D22" s="571">
        <v>0</v>
      </c>
      <c r="E22" s="571">
        <v>0</v>
      </c>
      <c r="F22" s="571">
        <v>0</v>
      </c>
      <c r="G22" s="571">
        <f t="shared" si="0"/>
        <v>110</v>
      </c>
      <c r="H22" s="571">
        <v>110</v>
      </c>
      <c r="I22" s="572">
        <v>0</v>
      </c>
      <c r="J22" s="571">
        <v>0</v>
      </c>
      <c r="K22" s="571">
        <v>0</v>
      </c>
      <c r="L22" s="571">
        <f t="shared" si="1"/>
        <v>110</v>
      </c>
      <c r="M22" s="571">
        <f t="shared" si="2"/>
        <v>0</v>
      </c>
      <c r="N22" s="571"/>
    </row>
    <row r="23" spans="1:14" ht="15">
      <c r="A23" s="3">
        <v>13</v>
      </c>
      <c r="B23" s="557" t="s">
        <v>837</v>
      </c>
      <c r="C23" s="571">
        <v>0</v>
      </c>
      <c r="D23" s="571">
        <v>0</v>
      </c>
      <c r="E23" s="571">
        <v>0</v>
      </c>
      <c r="F23" s="571">
        <v>0</v>
      </c>
      <c r="G23" s="571">
        <f t="shared" si="0"/>
        <v>0</v>
      </c>
      <c r="H23" s="571">
        <v>0</v>
      </c>
      <c r="I23" s="572">
        <v>0</v>
      </c>
      <c r="J23" s="571">
        <v>0</v>
      </c>
      <c r="K23" s="571">
        <v>0</v>
      </c>
      <c r="L23" s="571">
        <f t="shared" si="1"/>
        <v>0</v>
      </c>
      <c r="M23" s="571">
        <f t="shared" si="2"/>
        <v>0</v>
      </c>
      <c r="N23" s="571"/>
    </row>
    <row r="24" spans="1:14" ht="15">
      <c r="A24" s="3">
        <v>14</v>
      </c>
      <c r="B24" s="557" t="s">
        <v>838</v>
      </c>
      <c r="C24" s="571">
        <v>0</v>
      </c>
      <c r="D24" s="571">
        <v>0</v>
      </c>
      <c r="E24" s="571">
        <v>0</v>
      </c>
      <c r="F24" s="571">
        <v>0</v>
      </c>
      <c r="G24" s="571">
        <f t="shared" si="0"/>
        <v>0</v>
      </c>
      <c r="H24" s="571">
        <v>0</v>
      </c>
      <c r="I24" s="572">
        <v>0</v>
      </c>
      <c r="J24" s="571">
        <v>0</v>
      </c>
      <c r="K24" s="571">
        <v>0</v>
      </c>
      <c r="L24" s="571">
        <f t="shared" si="1"/>
        <v>0</v>
      </c>
      <c r="M24" s="571">
        <f t="shared" si="2"/>
        <v>0</v>
      </c>
      <c r="N24" s="571"/>
    </row>
    <row r="25" spans="1:14" ht="15">
      <c r="A25" s="3">
        <v>15</v>
      </c>
      <c r="B25" s="557" t="s">
        <v>839</v>
      </c>
      <c r="C25" s="571">
        <v>0</v>
      </c>
      <c r="D25" s="571">
        <v>0</v>
      </c>
      <c r="E25" s="571">
        <v>0</v>
      </c>
      <c r="F25" s="571">
        <v>0</v>
      </c>
      <c r="G25" s="571">
        <f t="shared" si="0"/>
        <v>0</v>
      </c>
      <c r="H25" s="571">
        <v>0</v>
      </c>
      <c r="I25" s="572">
        <v>0</v>
      </c>
      <c r="J25" s="571">
        <v>0</v>
      </c>
      <c r="K25" s="571">
        <v>0</v>
      </c>
      <c r="L25" s="571">
        <f t="shared" si="1"/>
        <v>0</v>
      </c>
      <c r="M25" s="571">
        <f t="shared" si="2"/>
        <v>0</v>
      </c>
      <c r="N25" s="571"/>
    </row>
    <row r="26" spans="1:14" ht="15">
      <c r="A26" s="3">
        <v>16</v>
      </c>
      <c r="B26" s="557" t="s">
        <v>840</v>
      </c>
      <c r="C26" s="571">
        <v>0</v>
      </c>
      <c r="D26" s="571">
        <v>0</v>
      </c>
      <c r="E26" s="571">
        <v>0</v>
      </c>
      <c r="F26" s="571">
        <v>0</v>
      </c>
      <c r="G26" s="571">
        <f t="shared" si="0"/>
        <v>0</v>
      </c>
      <c r="H26" s="571">
        <v>0</v>
      </c>
      <c r="I26" s="572">
        <v>0</v>
      </c>
      <c r="J26" s="571">
        <v>0</v>
      </c>
      <c r="K26" s="571">
        <v>0</v>
      </c>
      <c r="L26" s="571">
        <f t="shared" si="1"/>
        <v>0</v>
      </c>
      <c r="M26" s="571">
        <f t="shared" si="2"/>
        <v>0</v>
      </c>
      <c r="N26" s="571"/>
    </row>
    <row r="27" spans="1:14" ht="15">
      <c r="A27" s="3">
        <v>17</v>
      </c>
      <c r="B27" s="557" t="s">
        <v>841</v>
      </c>
      <c r="C27" s="571">
        <v>0</v>
      </c>
      <c r="D27" s="571">
        <v>0</v>
      </c>
      <c r="E27" s="571">
        <v>0</v>
      </c>
      <c r="F27" s="571">
        <v>0</v>
      </c>
      <c r="G27" s="571">
        <f t="shared" si="0"/>
        <v>0</v>
      </c>
      <c r="H27" s="571">
        <v>0</v>
      </c>
      <c r="I27" s="572">
        <v>0</v>
      </c>
      <c r="J27" s="571">
        <v>0</v>
      </c>
      <c r="K27" s="571">
        <v>0</v>
      </c>
      <c r="L27" s="571">
        <f t="shared" si="1"/>
        <v>0</v>
      </c>
      <c r="M27" s="571">
        <f t="shared" si="2"/>
        <v>0</v>
      </c>
      <c r="N27" s="571"/>
    </row>
    <row r="28" spans="1:14" ht="15">
      <c r="A28" s="3">
        <v>18</v>
      </c>
      <c r="B28" s="557" t="s">
        <v>842</v>
      </c>
      <c r="C28" s="571">
        <v>4</v>
      </c>
      <c r="D28" s="571">
        <v>3</v>
      </c>
      <c r="E28" s="571">
        <v>0</v>
      </c>
      <c r="F28" s="571">
        <v>0</v>
      </c>
      <c r="G28" s="571">
        <f t="shared" si="0"/>
        <v>7</v>
      </c>
      <c r="H28" s="571">
        <v>4</v>
      </c>
      <c r="I28" s="572">
        <v>3</v>
      </c>
      <c r="J28" s="571">
        <v>0</v>
      </c>
      <c r="K28" s="571">
        <v>0</v>
      </c>
      <c r="L28" s="571">
        <f t="shared" si="1"/>
        <v>7</v>
      </c>
      <c r="M28" s="571">
        <f t="shared" si="2"/>
        <v>0</v>
      </c>
      <c r="N28" s="571"/>
    </row>
    <row r="29" spans="1:14" ht="15">
      <c r="A29" s="3">
        <v>19</v>
      </c>
      <c r="B29" s="557" t="s">
        <v>843</v>
      </c>
      <c r="C29" s="571">
        <v>0</v>
      </c>
      <c r="D29" s="571">
        <v>0</v>
      </c>
      <c r="E29" s="571">
        <v>0</v>
      </c>
      <c r="F29" s="571">
        <v>0</v>
      </c>
      <c r="G29" s="571">
        <f t="shared" si="0"/>
        <v>0</v>
      </c>
      <c r="H29" s="571">
        <v>0</v>
      </c>
      <c r="I29" s="572">
        <v>0</v>
      </c>
      <c r="J29" s="571">
        <v>0</v>
      </c>
      <c r="K29" s="571">
        <v>0</v>
      </c>
      <c r="L29" s="571">
        <f t="shared" si="1"/>
        <v>0</v>
      </c>
      <c r="M29" s="571">
        <f t="shared" si="2"/>
        <v>0</v>
      </c>
      <c r="N29" s="571"/>
    </row>
    <row r="30" spans="1:14" ht="15">
      <c r="A30" s="3">
        <v>20</v>
      </c>
      <c r="B30" s="557" t="s">
        <v>844</v>
      </c>
      <c r="C30" s="571">
        <v>0</v>
      </c>
      <c r="D30" s="571">
        <v>39</v>
      </c>
      <c r="E30" s="571">
        <v>0</v>
      </c>
      <c r="F30" s="571">
        <v>0</v>
      </c>
      <c r="G30" s="571">
        <f t="shared" si="0"/>
        <v>39</v>
      </c>
      <c r="H30" s="571">
        <v>0</v>
      </c>
      <c r="I30" s="572">
        <v>39</v>
      </c>
      <c r="J30" s="571">
        <v>0</v>
      </c>
      <c r="K30" s="571">
        <v>0</v>
      </c>
      <c r="L30" s="571">
        <f t="shared" si="1"/>
        <v>39</v>
      </c>
      <c r="M30" s="571">
        <f t="shared" si="2"/>
        <v>0</v>
      </c>
      <c r="N30" s="571"/>
    </row>
    <row r="31" spans="1:14" ht="15">
      <c r="A31" s="3">
        <v>21</v>
      </c>
      <c r="B31" s="557" t="s">
        <v>845</v>
      </c>
      <c r="C31" s="571">
        <v>0</v>
      </c>
      <c r="D31" s="571">
        <v>0</v>
      </c>
      <c r="E31" s="571">
        <v>0</v>
      </c>
      <c r="F31" s="571">
        <v>0</v>
      </c>
      <c r="G31" s="571">
        <f t="shared" si="0"/>
        <v>0</v>
      </c>
      <c r="H31" s="571">
        <v>0</v>
      </c>
      <c r="I31" s="572">
        <v>0</v>
      </c>
      <c r="J31" s="571">
        <v>0</v>
      </c>
      <c r="K31" s="571">
        <v>0</v>
      </c>
      <c r="L31" s="571">
        <f t="shared" si="1"/>
        <v>0</v>
      </c>
      <c r="M31" s="571">
        <f t="shared" si="2"/>
        <v>0</v>
      </c>
      <c r="N31" s="571"/>
    </row>
    <row r="32" spans="1:14" ht="15">
      <c r="A32" s="3">
        <v>22</v>
      </c>
      <c r="B32" s="557" t="s">
        <v>846</v>
      </c>
      <c r="C32" s="571">
        <v>51</v>
      </c>
      <c r="D32" s="571">
        <v>1</v>
      </c>
      <c r="E32" s="571">
        <v>0</v>
      </c>
      <c r="F32" s="571">
        <v>0</v>
      </c>
      <c r="G32" s="571">
        <f t="shared" si="0"/>
        <v>52</v>
      </c>
      <c r="H32" s="571">
        <v>51</v>
      </c>
      <c r="I32" s="572">
        <v>1</v>
      </c>
      <c r="J32" s="571">
        <v>0</v>
      </c>
      <c r="K32" s="571">
        <v>0</v>
      </c>
      <c r="L32" s="571">
        <f t="shared" si="1"/>
        <v>52</v>
      </c>
      <c r="M32" s="571">
        <f t="shared" si="2"/>
        <v>0</v>
      </c>
      <c r="N32" s="571"/>
    </row>
    <row r="33" spans="1:14" ht="15">
      <c r="A33" s="3">
        <v>23</v>
      </c>
      <c r="B33" s="557" t="s">
        <v>847</v>
      </c>
      <c r="C33" s="571">
        <v>18</v>
      </c>
      <c r="D33" s="571">
        <v>0</v>
      </c>
      <c r="E33" s="571">
        <v>0</v>
      </c>
      <c r="F33" s="571">
        <v>0</v>
      </c>
      <c r="G33" s="571">
        <f t="shared" si="0"/>
        <v>18</v>
      </c>
      <c r="H33" s="571">
        <v>18</v>
      </c>
      <c r="I33" s="572">
        <v>0</v>
      </c>
      <c r="J33" s="571">
        <v>0</v>
      </c>
      <c r="K33" s="571">
        <v>0</v>
      </c>
      <c r="L33" s="571">
        <f t="shared" si="1"/>
        <v>18</v>
      </c>
      <c r="M33" s="571">
        <f t="shared" si="2"/>
        <v>0</v>
      </c>
      <c r="N33" s="571"/>
    </row>
    <row r="34" spans="1:14" ht="15">
      <c r="A34" s="3">
        <v>24</v>
      </c>
      <c r="B34" s="557" t="s">
        <v>848</v>
      </c>
      <c r="C34" s="571">
        <v>1</v>
      </c>
      <c r="D34" s="571">
        <v>0</v>
      </c>
      <c r="E34" s="571">
        <v>0</v>
      </c>
      <c r="F34" s="571">
        <v>0</v>
      </c>
      <c r="G34" s="571">
        <f t="shared" si="0"/>
        <v>1</v>
      </c>
      <c r="H34" s="571">
        <v>1</v>
      </c>
      <c r="I34" s="572">
        <v>0</v>
      </c>
      <c r="J34" s="571">
        <v>0</v>
      </c>
      <c r="K34" s="571">
        <v>0</v>
      </c>
      <c r="L34" s="571">
        <f t="shared" si="1"/>
        <v>1</v>
      </c>
      <c r="M34" s="571">
        <f t="shared" si="2"/>
        <v>0</v>
      </c>
      <c r="N34" s="571"/>
    </row>
    <row r="35" spans="1:14" ht="15">
      <c r="A35" s="3">
        <v>25</v>
      </c>
      <c r="B35" s="557" t="s">
        <v>849</v>
      </c>
      <c r="C35" s="571">
        <v>0</v>
      </c>
      <c r="D35" s="571">
        <v>0</v>
      </c>
      <c r="E35" s="571">
        <v>0</v>
      </c>
      <c r="F35" s="571">
        <v>0</v>
      </c>
      <c r="G35" s="571">
        <f t="shared" si="0"/>
        <v>0</v>
      </c>
      <c r="H35" s="571">
        <v>0</v>
      </c>
      <c r="I35" s="572">
        <v>0</v>
      </c>
      <c r="J35" s="571">
        <v>0</v>
      </c>
      <c r="K35" s="571">
        <v>0</v>
      </c>
      <c r="L35" s="571">
        <f t="shared" si="1"/>
        <v>0</v>
      </c>
      <c r="M35" s="571">
        <f t="shared" si="2"/>
        <v>0</v>
      </c>
      <c r="N35" s="571"/>
    </row>
    <row r="36" spans="1:14" ht="15.75" customHeight="1">
      <c r="A36" s="3">
        <v>26</v>
      </c>
      <c r="B36" s="557" t="s">
        <v>850</v>
      </c>
      <c r="C36" s="571">
        <v>0</v>
      </c>
      <c r="D36" s="571">
        <v>0</v>
      </c>
      <c r="E36" s="571">
        <v>0</v>
      </c>
      <c r="F36" s="571">
        <v>0</v>
      </c>
      <c r="G36" s="571">
        <f t="shared" si="0"/>
        <v>0</v>
      </c>
      <c r="H36" s="571">
        <v>0</v>
      </c>
      <c r="I36" s="572">
        <v>0</v>
      </c>
      <c r="J36" s="571">
        <v>0</v>
      </c>
      <c r="K36" s="571">
        <v>0</v>
      </c>
      <c r="L36" s="571">
        <f t="shared" si="1"/>
        <v>0</v>
      </c>
      <c r="M36" s="571">
        <f t="shared" si="2"/>
        <v>0</v>
      </c>
      <c r="N36" s="571"/>
    </row>
    <row r="37" spans="1:14" ht="15.75" customHeight="1">
      <c r="A37" s="3">
        <v>27</v>
      </c>
      <c r="B37" s="562" t="s">
        <v>851</v>
      </c>
      <c r="C37" s="571">
        <v>337</v>
      </c>
      <c r="D37" s="571">
        <v>0</v>
      </c>
      <c r="E37" s="571">
        <v>0</v>
      </c>
      <c r="F37" s="571">
        <v>0</v>
      </c>
      <c r="G37" s="571">
        <f t="shared" si="0"/>
        <v>337</v>
      </c>
      <c r="H37" s="571">
        <v>337</v>
      </c>
      <c r="I37" s="572">
        <v>0</v>
      </c>
      <c r="J37" s="571">
        <v>0</v>
      </c>
      <c r="K37" s="571">
        <v>0</v>
      </c>
      <c r="L37" s="571">
        <f t="shared" si="1"/>
        <v>337</v>
      </c>
      <c r="M37" s="571">
        <f t="shared" si="2"/>
        <v>0</v>
      </c>
      <c r="N37" s="571"/>
    </row>
    <row r="38" spans="1:14" ht="15.75" customHeight="1">
      <c r="A38" s="3">
        <v>28</v>
      </c>
      <c r="B38" s="563" t="s">
        <v>852</v>
      </c>
      <c r="C38" s="571">
        <v>3</v>
      </c>
      <c r="D38" s="571">
        <v>0</v>
      </c>
      <c r="E38" s="571">
        <v>0</v>
      </c>
      <c r="F38" s="571">
        <v>0</v>
      </c>
      <c r="G38" s="571">
        <f t="shared" si="0"/>
        <v>3</v>
      </c>
      <c r="H38" s="571">
        <v>3</v>
      </c>
      <c r="I38" s="572">
        <v>0</v>
      </c>
      <c r="J38" s="571">
        <v>0</v>
      </c>
      <c r="K38" s="571">
        <v>0</v>
      </c>
      <c r="L38" s="571">
        <f t="shared" si="1"/>
        <v>3</v>
      </c>
      <c r="M38" s="571">
        <f t="shared" si="2"/>
        <v>0</v>
      </c>
      <c r="N38" s="571"/>
    </row>
    <row r="39" spans="1:14" ht="15">
      <c r="A39" s="3">
        <v>29</v>
      </c>
      <c r="B39" s="563" t="s">
        <v>1041</v>
      </c>
      <c r="C39" s="571">
        <v>0</v>
      </c>
      <c r="D39" s="571">
        <v>0</v>
      </c>
      <c r="E39" s="571">
        <v>0</v>
      </c>
      <c r="F39" s="571">
        <v>0</v>
      </c>
      <c r="G39" s="571">
        <f t="shared" si="0"/>
        <v>0</v>
      </c>
      <c r="H39" s="571">
        <v>0</v>
      </c>
      <c r="I39" s="572">
        <v>0</v>
      </c>
      <c r="J39" s="571">
        <v>0</v>
      </c>
      <c r="K39" s="571">
        <v>0</v>
      </c>
      <c r="L39" s="571">
        <f t="shared" si="1"/>
        <v>0</v>
      </c>
      <c r="M39" s="571">
        <f t="shared" si="2"/>
        <v>0</v>
      </c>
      <c r="N39" s="571"/>
    </row>
    <row r="40" spans="1:14" ht="15">
      <c r="A40" s="3">
        <v>30</v>
      </c>
      <c r="B40" s="563" t="s">
        <v>1042</v>
      </c>
      <c r="C40" s="571">
        <v>0</v>
      </c>
      <c r="D40" s="571">
        <v>0</v>
      </c>
      <c r="E40" s="571">
        <v>0</v>
      </c>
      <c r="F40" s="571">
        <v>0</v>
      </c>
      <c r="G40" s="571">
        <f t="shared" si="0"/>
        <v>0</v>
      </c>
      <c r="H40" s="571">
        <v>0</v>
      </c>
      <c r="I40" s="572">
        <v>0</v>
      </c>
      <c r="J40" s="571">
        <v>0</v>
      </c>
      <c r="K40" s="571">
        <v>0</v>
      </c>
      <c r="L40" s="571">
        <f t="shared" si="1"/>
        <v>0</v>
      </c>
      <c r="M40" s="571">
        <f t="shared" si="2"/>
        <v>0</v>
      </c>
      <c r="N40" s="571"/>
    </row>
    <row r="41" spans="1:14" ht="15">
      <c r="A41" s="3">
        <v>31</v>
      </c>
      <c r="B41" s="563" t="s">
        <v>1043</v>
      </c>
      <c r="C41" s="571">
        <v>0</v>
      </c>
      <c r="D41" s="571">
        <v>0</v>
      </c>
      <c r="E41" s="571">
        <v>0</v>
      </c>
      <c r="F41" s="571">
        <v>0</v>
      </c>
      <c r="G41" s="571">
        <f t="shared" si="0"/>
        <v>0</v>
      </c>
      <c r="H41" s="571">
        <v>0</v>
      </c>
      <c r="I41" s="572">
        <v>0</v>
      </c>
      <c r="J41" s="571">
        <v>0</v>
      </c>
      <c r="K41" s="571">
        <v>0</v>
      </c>
      <c r="L41" s="571">
        <f t="shared" si="1"/>
        <v>0</v>
      </c>
      <c r="M41" s="571">
        <f t="shared" si="2"/>
        <v>0</v>
      </c>
      <c r="N41" s="571"/>
    </row>
    <row r="42" spans="1:14" ht="15">
      <c r="A42" s="3">
        <v>32</v>
      </c>
      <c r="B42" s="563" t="s">
        <v>1044</v>
      </c>
      <c r="C42" s="571">
        <v>0</v>
      </c>
      <c r="D42" s="571">
        <v>0</v>
      </c>
      <c r="E42" s="571">
        <v>0</v>
      </c>
      <c r="F42" s="571">
        <v>0</v>
      </c>
      <c r="G42" s="571">
        <f t="shared" si="0"/>
        <v>0</v>
      </c>
      <c r="H42" s="571">
        <v>0</v>
      </c>
      <c r="I42" s="572">
        <v>0</v>
      </c>
      <c r="J42" s="571">
        <v>0</v>
      </c>
      <c r="K42" s="571">
        <v>0</v>
      </c>
      <c r="L42" s="571">
        <f t="shared" si="1"/>
        <v>0</v>
      </c>
      <c r="M42" s="571">
        <f t="shared" si="2"/>
        <v>0</v>
      </c>
      <c r="N42" s="571"/>
    </row>
    <row r="43" spans="1:14" ht="15">
      <c r="A43" s="3">
        <v>33</v>
      </c>
      <c r="B43" s="563" t="s">
        <v>857</v>
      </c>
      <c r="C43" s="571">
        <v>26</v>
      </c>
      <c r="D43" s="571">
        <v>0</v>
      </c>
      <c r="E43" s="571">
        <v>0</v>
      </c>
      <c r="F43" s="571">
        <v>0</v>
      </c>
      <c r="G43" s="571">
        <f t="shared" si="0"/>
        <v>26</v>
      </c>
      <c r="H43" s="571">
        <v>26</v>
      </c>
      <c r="I43" s="572">
        <v>0</v>
      </c>
      <c r="J43" s="571">
        <v>0</v>
      </c>
      <c r="K43" s="571">
        <v>0</v>
      </c>
      <c r="L43" s="571">
        <f t="shared" si="1"/>
        <v>26</v>
      </c>
      <c r="M43" s="571">
        <f t="shared" si="2"/>
        <v>0</v>
      </c>
      <c r="N43" s="571"/>
    </row>
    <row r="44" spans="1:14" ht="15">
      <c r="A44" s="3" t="s">
        <v>18</v>
      </c>
      <c r="B44" s="9"/>
      <c r="C44" s="571">
        <f>SUM(C11:C43)</f>
        <v>715</v>
      </c>
      <c r="D44" s="571">
        <f t="shared" ref="D44:L44" si="3">SUM(D11:D43)</f>
        <v>57</v>
      </c>
      <c r="E44" s="571">
        <f t="shared" si="3"/>
        <v>0</v>
      </c>
      <c r="F44" s="571">
        <f t="shared" si="3"/>
        <v>0</v>
      </c>
      <c r="G44" s="571">
        <f t="shared" si="3"/>
        <v>772</v>
      </c>
      <c r="H44" s="571">
        <f t="shared" si="3"/>
        <v>715</v>
      </c>
      <c r="I44" s="571">
        <f t="shared" si="3"/>
        <v>57</v>
      </c>
      <c r="J44" s="571">
        <f t="shared" si="3"/>
        <v>0</v>
      </c>
      <c r="K44" s="571">
        <f t="shared" si="3"/>
        <v>0</v>
      </c>
      <c r="L44" s="571">
        <f t="shared" si="3"/>
        <v>772</v>
      </c>
      <c r="M44" s="571"/>
      <c r="N44" s="571"/>
    </row>
    <row r="45" spans="1:14">
      <c r="A45" s="12"/>
      <c r="B45" s="13"/>
      <c r="C45" s="13"/>
      <c r="D45" s="13"/>
      <c r="E45" s="13"/>
      <c r="F45" s="13"/>
      <c r="G45" s="13"/>
      <c r="H45" s="13"/>
      <c r="I45" s="13"/>
      <c r="J45" s="13"/>
      <c r="K45" s="13"/>
      <c r="L45" s="13"/>
      <c r="M45" s="13"/>
      <c r="N45" s="13"/>
    </row>
    <row r="46" spans="1:14">
      <c r="A46" s="11" t="s">
        <v>8</v>
      </c>
    </row>
    <row r="47" spans="1:14">
      <c r="A47" t="s">
        <v>9</v>
      </c>
    </row>
    <row r="48" spans="1:14">
      <c r="A48" t="s">
        <v>10</v>
      </c>
      <c r="K48" s="12" t="s">
        <v>11</v>
      </c>
      <c r="L48" s="12" t="s">
        <v>11</v>
      </c>
      <c r="M48" s="12"/>
      <c r="N48" s="12" t="s">
        <v>11</v>
      </c>
    </row>
    <row r="49" spans="1:17">
      <c r="A49" s="16" t="s">
        <v>429</v>
      </c>
      <c r="J49" s="12"/>
      <c r="K49" s="12"/>
      <c r="L49" s="12"/>
    </row>
    <row r="50" spans="1:17">
      <c r="C50" s="16" t="s">
        <v>430</v>
      </c>
      <c r="E50" s="13"/>
      <c r="F50" s="13"/>
      <c r="G50" s="13"/>
      <c r="H50" s="13"/>
      <c r="I50" s="13"/>
      <c r="J50" s="13"/>
      <c r="K50" s="13"/>
      <c r="L50" s="13"/>
      <c r="M50" s="13"/>
    </row>
    <row r="51" spans="1:17">
      <c r="E51" s="13"/>
      <c r="F51" s="13"/>
      <c r="G51" s="13"/>
      <c r="H51" s="13"/>
      <c r="I51" s="13"/>
      <c r="J51" s="13"/>
      <c r="K51" s="13"/>
      <c r="L51" s="13"/>
      <c r="M51" s="13"/>
      <c r="N51" s="13"/>
    </row>
    <row r="52" spans="1:17">
      <c r="E52" s="13"/>
      <c r="F52" s="13"/>
      <c r="G52" s="13"/>
      <c r="H52" s="13"/>
      <c r="I52" s="13"/>
      <c r="J52" s="13"/>
      <c r="K52" s="13"/>
      <c r="L52" s="13"/>
      <c r="M52" s="13"/>
      <c r="N52" s="13"/>
    </row>
    <row r="53" spans="1:17" s="991" customFormat="1">
      <c r="A53" s="15" t="s">
        <v>12</v>
      </c>
      <c r="B53" s="15"/>
      <c r="C53" s="15"/>
      <c r="D53" s="15"/>
      <c r="E53" s="15"/>
      <c r="F53" s="15"/>
      <c r="G53" s="15"/>
      <c r="I53" s="15"/>
      <c r="O53" s="990"/>
      <c r="P53" s="990"/>
      <c r="Q53" s="990"/>
    </row>
    <row r="54" spans="1:17" ht="15.6" customHeight="1">
      <c r="B54" s="989"/>
      <c r="C54" s="989"/>
      <c r="D54" s="989"/>
      <c r="E54" s="989"/>
      <c r="F54" s="989"/>
      <c r="G54" s="989"/>
      <c r="H54" s="989"/>
      <c r="I54" s="989"/>
      <c r="J54" s="989"/>
      <c r="N54" s="989"/>
    </row>
    <row r="55" spans="1:17" ht="15.6" customHeight="1">
      <c r="B55" s="989"/>
      <c r="C55" s="989"/>
      <c r="D55" s="989"/>
      <c r="E55" s="989"/>
      <c r="H55" s="997"/>
      <c r="J55" s="989"/>
      <c r="L55" s="1040" t="s">
        <v>1106</v>
      </c>
      <c r="M55" s="1040"/>
      <c r="N55" s="1040"/>
    </row>
    <row r="56" spans="1:17" ht="15.6" customHeight="1">
      <c r="A56" s="989" t="s">
        <v>1105</v>
      </c>
      <c r="B56" s="989"/>
      <c r="C56" s="989"/>
      <c r="D56" s="989"/>
      <c r="E56" s="989"/>
      <c r="H56" s="997"/>
      <c r="J56" s="989"/>
      <c r="L56" s="1040" t="s">
        <v>481</v>
      </c>
      <c r="M56" s="1040"/>
      <c r="N56" s="1040"/>
    </row>
    <row r="57" spans="1:17" ht="15.6" customHeight="1">
      <c r="A57" s="246"/>
      <c r="B57" s="246"/>
      <c r="C57" s="246"/>
      <c r="D57" s="246"/>
      <c r="E57" s="246"/>
      <c r="H57" s="997"/>
      <c r="J57" s="246"/>
      <c r="K57" s="246"/>
      <c r="L57" s="1040" t="s">
        <v>1107</v>
      </c>
      <c r="M57" s="1040"/>
      <c r="N57" s="1040"/>
      <c r="O57" s="246"/>
    </row>
  </sheetData>
  <mergeCells count="15">
    <mergeCell ref="A7:B7"/>
    <mergeCell ref="D1:J1"/>
    <mergeCell ref="A2:N2"/>
    <mergeCell ref="A3:N3"/>
    <mergeCell ref="A5:N5"/>
    <mergeCell ref="L7:N7"/>
    <mergeCell ref="L55:N55"/>
    <mergeCell ref="L56:N56"/>
    <mergeCell ref="L57:N57"/>
    <mergeCell ref="N8:N9"/>
    <mergeCell ref="A8:A9"/>
    <mergeCell ref="B8:B9"/>
    <mergeCell ref="C8:G8"/>
    <mergeCell ref="H8:L8"/>
    <mergeCell ref="M8:M9"/>
  </mergeCells>
  <phoneticPr fontId="0" type="noConversion"/>
  <printOptions horizontalCentered="1"/>
  <pageMargins left="0.70866141732283472" right="0.70866141732283472" top="0.63" bottom="0" header="0.79" footer="0.31496062992125984"/>
  <pageSetup paperSize="9" scale="87"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U73"/>
  <sheetViews>
    <sheetView topLeftCell="D1" zoomScaleSheetLayoutView="80" workbookViewId="0">
      <selection activeCell="E13" sqref="E13"/>
    </sheetView>
  </sheetViews>
  <sheetFormatPr defaultColWidth="9.28515625" defaultRowHeight="12.75"/>
  <cols>
    <col min="1" max="1" width="7.28515625" style="15" customWidth="1"/>
    <col min="2" max="2" width="19.42578125" style="15" customWidth="1"/>
    <col min="3" max="3" width="10.28515625" style="15" customWidth="1"/>
    <col min="4" max="4" width="9.28515625" style="15" customWidth="1"/>
    <col min="5" max="5" width="9.42578125" style="15" bestFit="1" customWidth="1"/>
    <col min="6" max="6" width="9.28515625" style="15" bestFit="1" customWidth="1"/>
    <col min="7" max="7" width="11.7109375" style="15" customWidth="1"/>
    <col min="8" max="8" width="11" style="15" customWidth="1"/>
    <col min="9" max="9" width="9.7109375" style="15" customWidth="1"/>
    <col min="10" max="10" width="9.42578125" style="15" customWidth="1"/>
    <col min="11" max="11" width="11.7109375" style="15" customWidth="1"/>
    <col min="12" max="12" width="10.7109375" style="15" customWidth="1"/>
    <col min="13" max="13" width="10.42578125" style="15" customWidth="1"/>
    <col min="14" max="15" width="8.7109375" style="15" customWidth="1"/>
    <col min="16" max="16" width="9.28515625" style="15"/>
    <col min="17" max="17" width="11" style="15" customWidth="1"/>
    <col min="18" max="18" width="0" style="15" hidden="1" customWidth="1"/>
    <col min="19" max="19" width="11.5703125" style="15" bestFit="1" customWidth="1"/>
    <col min="20" max="20" width="9.28515625" style="15"/>
    <col min="21" max="21" width="11.140625" style="15" bestFit="1" customWidth="1"/>
    <col min="22" max="16384" width="9.28515625" style="15"/>
  </cols>
  <sheetData>
    <row r="1" spans="1:21" ht="12.75" customHeight="1">
      <c r="O1" s="1110" t="s">
        <v>61</v>
      </c>
      <c r="P1" s="1110"/>
      <c r="Q1" s="1110"/>
    </row>
    <row r="2" spans="1:21" ht="15.75">
      <c r="A2" s="1111" t="s">
        <v>0</v>
      </c>
      <c r="B2" s="1111"/>
      <c r="C2" s="1111"/>
      <c r="D2" s="1111"/>
      <c r="E2" s="1111"/>
      <c r="F2" s="1111"/>
      <c r="G2" s="1111"/>
      <c r="H2" s="1111"/>
      <c r="I2" s="1111"/>
      <c r="J2" s="1111"/>
      <c r="K2" s="1111"/>
      <c r="L2" s="1111"/>
      <c r="M2" s="101"/>
      <c r="N2" s="101"/>
      <c r="O2" s="101"/>
      <c r="P2" s="101"/>
    </row>
    <row r="3" spans="1:21" ht="20.25">
      <c r="A3" s="1112" t="s">
        <v>636</v>
      </c>
      <c r="B3" s="1112"/>
      <c r="C3" s="1112"/>
      <c r="D3" s="1112"/>
      <c r="E3" s="1112"/>
      <c r="F3" s="1112"/>
      <c r="G3" s="1112"/>
      <c r="H3" s="1112"/>
      <c r="I3" s="1112"/>
      <c r="J3" s="1112"/>
      <c r="K3" s="1112"/>
      <c r="L3" s="1112"/>
      <c r="M3" s="40"/>
      <c r="N3" s="40"/>
      <c r="O3" s="40"/>
      <c r="P3" s="40"/>
    </row>
    <row r="4" spans="1:21" ht="11.25" customHeight="1"/>
    <row r="5" spans="1:21" ht="15.75" customHeight="1">
      <c r="A5" s="1191" t="s">
        <v>644</v>
      </c>
      <c r="B5" s="1191"/>
      <c r="C5" s="1191"/>
      <c r="D5" s="1191"/>
      <c r="E5" s="1191"/>
      <c r="F5" s="1191"/>
      <c r="G5" s="1191"/>
      <c r="H5" s="1191"/>
      <c r="I5" s="1191"/>
      <c r="J5" s="1191"/>
      <c r="K5" s="1191"/>
      <c r="L5" s="1191"/>
      <c r="M5" s="1191"/>
      <c r="N5" s="1191"/>
      <c r="O5" s="1191"/>
    </row>
    <row r="7" spans="1:21" ht="17.45" customHeight="1">
      <c r="A7" s="1092" t="s">
        <v>824</v>
      </c>
      <c r="B7" s="1092"/>
      <c r="N7" s="1179" t="s">
        <v>793</v>
      </c>
      <c r="O7" s="1179"/>
      <c r="P7" s="1179"/>
      <c r="Q7" s="1179"/>
    </row>
    <row r="8" spans="1:21" ht="24" customHeight="1">
      <c r="A8" s="1083" t="s">
        <v>2</v>
      </c>
      <c r="B8" s="1083" t="s">
        <v>3</v>
      </c>
      <c r="C8" s="1115" t="s">
        <v>645</v>
      </c>
      <c r="D8" s="1115"/>
      <c r="E8" s="1115"/>
      <c r="F8" s="1115"/>
      <c r="G8" s="1115"/>
      <c r="H8" s="1192" t="s">
        <v>675</v>
      </c>
      <c r="I8" s="1115"/>
      <c r="J8" s="1115"/>
      <c r="K8" s="1115"/>
      <c r="L8" s="1115"/>
      <c r="M8" s="1097" t="s">
        <v>111</v>
      </c>
      <c r="N8" s="1193"/>
      <c r="O8" s="1193"/>
      <c r="P8" s="1193"/>
      <c r="Q8" s="1098"/>
    </row>
    <row r="9" spans="1:21" ht="60" customHeight="1">
      <c r="A9" s="1083"/>
      <c r="B9" s="1083"/>
      <c r="C9" s="5" t="s">
        <v>216</v>
      </c>
      <c r="D9" s="5" t="s">
        <v>217</v>
      </c>
      <c r="E9" s="5" t="s">
        <v>356</v>
      </c>
      <c r="F9" s="5" t="s">
        <v>224</v>
      </c>
      <c r="G9" s="5" t="s">
        <v>117</v>
      </c>
      <c r="H9" s="96" t="s">
        <v>216</v>
      </c>
      <c r="I9" s="5" t="s">
        <v>217</v>
      </c>
      <c r="J9" s="5" t="s">
        <v>356</v>
      </c>
      <c r="K9" s="7" t="s">
        <v>224</v>
      </c>
      <c r="L9" s="5" t="s">
        <v>359</v>
      </c>
      <c r="M9" s="5" t="s">
        <v>216</v>
      </c>
      <c r="N9" s="5" t="s">
        <v>217</v>
      </c>
      <c r="O9" s="5" t="s">
        <v>356</v>
      </c>
      <c r="P9" s="7" t="s">
        <v>224</v>
      </c>
      <c r="Q9" s="5" t="s">
        <v>119</v>
      </c>
    </row>
    <row r="10" spans="1:21" s="62" customFormat="1">
      <c r="A10" s="60">
        <v>1</v>
      </c>
      <c r="B10" s="60">
        <v>2</v>
      </c>
      <c r="C10" s="60">
        <v>3</v>
      </c>
      <c r="D10" s="60">
        <v>4</v>
      </c>
      <c r="E10" s="60">
        <v>5</v>
      </c>
      <c r="F10" s="60">
        <v>6</v>
      </c>
      <c r="G10" s="60">
        <v>7</v>
      </c>
      <c r="H10" s="60">
        <v>8</v>
      </c>
      <c r="I10" s="60">
        <v>9</v>
      </c>
      <c r="J10" s="60">
        <v>10</v>
      </c>
      <c r="K10" s="60">
        <v>11</v>
      </c>
      <c r="L10" s="60">
        <v>12</v>
      </c>
      <c r="M10" s="60">
        <v>13</v>
      </c>
      <c r="N10" s="60">
        <v>14</v>
      </c>
      <c r="O10" s="60">
        <v>15</v>
      </c>
      <c r="P10" s="60">
        <v>16</v>
      </c>
      <c r="Q10" s="60">
        <v>17</v>
      </c>
    </row>
    <row r="11" spans="1:21">
      <c r="A11" s="3">
        <v>1</v>
      </c>
      <c r="B11" s="29" t="s">
        <v>825</v>
      </c>
      <c r="C11" s="791">
        <v>227288</v>
      </c>
      <c r="D11" s="791">
        <v>0</v>
      </c>
      <c r="E11" s="576">
        <v>0</v>
      </c>
      <c r="F11" s="576">
        <v>0</v>
      </c>
      <c r="G11" s="576">
        <f>C11+D11+E11+F11</f>
        <v>227288</v>
      </c>
      <c r="H11" s="791">
        <v>150067</v>
      </c>
      <c r="I11" s="791">
        <v>0</v>
      </c>
      <c r="J11" s="578">
        <v>0</v>
      </c>
      <c r="K11" s="576">
        <v>0</v>
      </c>
      <c r="L11" s="576">
        <f>H11+I11+J11+K11</f>
        <v>150067</v>
      </c>
      <c r="M11" s="576">
        <f>H11*237</f>
        <v>35565879</v>
      </c>
      <c r="N11" s="576">
        <f t="shared" ref="N11:P26" si="0">I11*237</f>
        <v>0</v>
      </c>
      <c r="O11" s="576">
        <f t="shared" si="0"/>
        <v>0</v>
      </c>
      <c r="P11" s="29">
        <f t="shared" si="0"/>
        <v>0</v>
      </c>
      <c r="Q11" s="576">
        <f>M11+N11+O11+P11</f>
        <v>35565879</v>
      </c>
      <c r="R11" s="578">
        <f>C11</f>
        <v>227288</v>
      </c>
      <c r="U11" s="578"/>
    </row>
    <row r="12" spans="1:21">
      <c r="A12" s="3">
        <v>2</v>
      </c>
      <c r="B12" s="29" t="s">
        <v>826</v>
      </c>
      <c r="C12" s="791">
        <v>87230</v>
      </c>
      <c r="D12" s="791">
        <v>400</v>
      </c>
      <c r="E12" s="576">
        <v>0</v>
      </c>
      <c r="F12" s="576">
        <v>0</v>
      </c>
      <c r="G12" s="576">
        <f t="shared" ref="G12:G43" si="1">C12+D12+E12+F12</f>
        <v>87630</v>
      </c>
      <c r="H12" s="791">
        <v>59419</v>
      </c>
      <c r="I12" s="791">
        <v>0</v>
      </c>
      <c r="J12" s="578">
        <v>0</v>
      </c>
      <c r="K12" s="576">
        <v>0</v>
      </c>
      <c r="L12" s="576">
        <f t="shared" ref="L12:L43" si="2">H12+I12+J12+K12</f>
        <v>59419</v>
      </c>
      <c r="M12" s="576">
        <f t="shared" ref="M12:P43" si="3">H12*237</f>
        <v>14082303</v>
      </c>
      <c r="N12" s="576">
        <f t="shared" si="0"/>
        <v>0</v>
      </c>
      <c r="O12" s="576">
        <f t="shared" si="0"/>
        <v>0</v>
      </c>
      <c r="P12" s="29">
        <f t="shared" si="0"/>
        <v>0</v>
      </c>
      <c r="Q12" s="576">
        <f t="shared" ref="Q12:Q43" si="4">M12+N12+O12+P12</f>
        <v>14082303</v>
      </c>
      <c r="R12" s="578">
        <f t="shared" ref="R12:R43" si="5">C12</f>
        <v>87230</v>
      </c>
      <c r="U12" s="578"/>
    </row>
    <row r="13" spans="1:21">
      <c r="A13" s="3">
        <v>3</v>
      </c>
      <c r="B13" s="29" t="s">
        <v>827</v>
      </c>
      <c r="C13" s="791">
        <v>131240</v>
      </c>
      <c r="D13" s="791">
        <v>0</v>
      </c>
      <c r="E13" s="576">
        <v>0</v>
      </c>
      <c r="F13" s="576">
        <v>0</v>
      </c>
      <c r="G13" s="576">
        <f t="shared" si="1"/>
        <v>131240</v>
      </c>
      <c r="H13" s="791">
        <v>110633</v>
      </c>
      <c r="I13" s="791">
        <v>0</v>
      </c>
      <c r="J13" s="578">
        <v>0</v>
      </c>
      <c r="K13" s="576">
        <v>0</v>
      </c>
      <c r="L13" s="576">
        <f t="shared" si="2"/>
        <v>110633</v>
      </c>
      <c r="M13" s="576">
        <f t="shared" si="3"/>
        <v>26220021</v>
      </c>
      <c r="N13" s="576">
        <f t="shared" si="0"/>
        <v>0</v>
      </c>
      <c r="O13" s="576">
        <f t="shared" si="0"/>
        <v>0</v>
      </c>
      <c r="P13" s="29">
        <f t="shared" si="0"/>
        <v>0</v>
      </c>
      <c r="Q13" s="576">
        <f t="shared" si="4"/>
        <v>26220021</v>
      </c>
      <c r="R13" s="578">
        <f t="shared" si="5"/>
        <v>131240</v>
      </c>
      <c r="U13" s="578"/>
    </row>
    <row r="14" spans="1:21">
      <c r="A14" s="3">
        <v>4</v>
      </c>
      <c r="B14" s="29" t="s">
        <v>828</v>
      </c>
      <c r="C14" s="791">
        <v>118224</v>
      </c>
      <c r="D14" s="791">
        <v>4589</v>
      </c>
      <c r="E14" s="576">
        <v>0</v>
      </c>
      <c r="F14" s="576">
        <v>0</v>
      </c>
      <c r="G14" s="576">
        <f t="shared" si="1"/>
        <v>122813</v>
      </c>
      <c r="H14" s="791">
        <v>88984</v>
      </c>
      <c r="I14" s="791">
        <v>2411</v>
      </c>
      <c r="J14" s="578">
        <v>0</v>
      </c>
      <c r="K14" s="576">
        <v>0</v>
      </c>
      <c r="L14" s="576">
        <f t="shared" si="2"/>
        <v>91395</v>
      </c>
      <c r="M14" s="576">
        <f t="shared" si="3"/>
        <v>21089208</v>
      </c>
      <c r="N14" s="576">
        <f t="shared" si="0"/>
        <v>571407</v>
      </c>
      <c r="O14" s="576">
        <f t="shared" si="0"/>
        <v>0</v>
      </c>
      <c r="P14" s="29">
        <f t="shared" si="0"/>
        <v>0</v>
      </c>
      <c r="Q14" s="576">
        <f t="shared" si="4"/>
        <v>21660615</v>
      </c>
      <c r="R14" s="578">
        <f t="shared" si="5"/>
        <v>118224</v>
      </c>
      <c r="U14" s="578"/>
    </row>
    <row r="15" spans="1:21">
      <c r="A15" s="3">
        <v>5</v>
      </c>
      <c r="B15" s="29" t="s">
        <v>829</v>
      </c>
      <c r="C15" s="791">
        <v>360614</v>
      </c>
      <c r="D15" s="791">
        <v>1109</v>
      </c>
      <c r="E15" s="576">
        <v>5688</v>
      </c>
      <c r="F15" s="576">
        <v>0</v>
      </c>
      <c r="G15" s="576">
        <f t="shared" si="1"/>
        <v>367411</v>
      </c>
      <c r="H15" s="791">
        <v>226386</v>
      </c>
      <c r="I15" s="791">
        <v>366</v>
      </c>
      <c r="J15" s="578">
        <v>1107</v>
      </c>
      <c r="K15" s="576">
        <v>0</v>
      </c>
      <c r="L15" s="576">
        <f t="shared" si="2"/>
        <v>227859</v>
      </c>
      <c r="M15" s="576">
        <f t="shared" si="3"/>
        <v>53653482</v>
      </c>
      <c r="N15" s="576">
        <f t="shared" si="0"/>
        <v>86742</v>
      </c>
      <c r="O15" s="576">
        <f t="shared" si="0"/>
        <v>262359</v>
      </c>
      <c r="P15" s="29">
        <f t="shared" si="0"/>
        <v>0</v>
      </c>
      <c r="Q15" s="576">
        <f t="shared" si="4"/>
        <v>54002583</v>
      </c>
      <c r="R15" s="578">
        <f t="shared" si="5"/>
        <v>360614</v>
      </c>
      <c r="U15" s="578"/>
    </row>
    <row r="16" spans="1:21">
      <c r="A16" s="3">
        <v>6</v>
      </c>
      <c r="B16" s="29" t="s">
        <v>830</v>
      </c>
      <c r="C16" s="791">
        <v>64123</v>
      </c>
      <c r="D16" s="791">
        <v>0</v>
      </c>
      <c r="E16" s="576">
        <v>0</v>
      </c>
      <c r="F16" s="576">
        <v>0</v>
      </c>
      <c r="G16" s="576">
        <f t="shared" si="1"/>
        <v>64123</v>
      </c>
      <c r="H16" s="791">
        <v>59654</v>
      </c>
      <c r="I16" s="791">
        <v>0</v>
      </c>
      <c r="J16" s="578">
        <v>0</v>
      </c>
      <c r="K16" s="576">
        <v>0</v>
      </c>
      <c r="L16" s="576">
        <f t="shared" si="2"/>
        <v>59654</v>
      </c>
      <c r="M16" s="576">
        <f t="shared" si="3"/>
        <v>14137998</v>
      </c>
      <c r="N16" s="576">
        <f t="shared" si="0"/>
        <v>0</v>
      </c>
      <c r="O16" s="576">
        <f t="shared" si="0"/>
        <v>0</v>
      </c>
      <c r="P16" s="29">
        <f t="shared" si="0"/>
        <v>0</v>
      </c>
      <c r="Q16" s="576">
        <f t="shared" si="4"/>
        <v>14137998</v>
      </c>
      <c r="R16" s="578">
        <f t="shared" si="5"/>
        <v>64123</v>
      </c>
      <c r="U16" s="578"/>
    </row>
    <row r="17" spans="1:21">
      <c r="A17" s="3">
        <v>7</v>
      </c>
      <c r="B17" s="29" t="s">
        <v>831</v>
      </c>
      <c r="C17" s="791">
        <v>54717</v>
      </c>
      <c r="D17" s="791">
        <v>0</v>
      </c>
      <c r="E17" s="576">
        <v>0</v>
      </c>
      <c r="F17" s="576">
        <v>0</v>
      </c>
      <c r="G17" s="576">
        <f t="shared" si="1"/>
        <v>54717</v>
      </c>
      <c r="H17" s="791">
        <v>49417</v>
      </c>
      <c r="I17" s="791">
        <v>0</v>
      </c>
      <c r="J17" s="578">
        <v>0</v>
      </c>
      <c r="K17" s="576">
        <v>0</v>
      </c>
      <c r="L17" s="576">
        <f t="shared" si="2"/>
        <v>49417</v>
      </c>
      <c r="M17" s="576">
        <f t="shared" si="3"/>
        <v>11711829</v>
      </c>
      <c r="N17" s="576">
        <f t="shared" si="0"/>
        <v>0</v>
      </c>
      <c r="O17" s="576">
        <f t="shared" si="0"/>
        <v>0</v>
      </c>
      <c r="P17" s="29">
        <f t="shared" si="0"/>
        <v>0</v>
      </c>
      <c r="Q17" s="576">
        <f t="shared" si="4"/>
        <v>11711829</v>
      </c>
      <c r="R17" s="578">
        <f t="shared" si="5"/>
        <v>54717</v>
      </c>
      <c r="U17" s="578"/>
    </row>
    <row r="18" spans="1:21">
      <c r="A18" s="3">
        <v>8</v>
      </c>
      <c r="B18" s="29" t="s">
        <v>832</v>
      </c>
      <c r="C18" s="791">
        <v>161697</v>
      </c>
      <c r="D18" s="791">
        <v>0</v>
      </c>
      <c r="E18" s="576">
        <v>0</v>
      </c>
      <c r="F18" s="576">
        <v>0</v>
      </c>
      <c r="G18" s="576">
        <f t="shared" si="1"/>
        <v>161697</v>
      </c>
      <c r="H18" s="791">
        <v>106886</v>
      </c>
      <c r="I18" s="791">
        <v>0</v>
      </c>
      <c r="J18" s="578">
        <v>0</v>
      </c>
      <c r="K18" s="576">
        <v>0</v>
      </c>
      <c r="L18" s="576">
        <f t="shared" si="2"/>
        <v>106886</v>
      </c>
      <c r="M18" s="576">
        <f t="shared" si="3"/>
        <v>25331982</v>
      </c>
      <c r="N18" s="576">
        <f t="shared" si="0"/>
        <v>0</v>
      </c>
      <c r="O18" s="576">
        <f t="shared" si="0"/>
        <v>0</v>
      </c>
      <c r="P18" s="29">
        <f t="shared" si="0"/>
        <v>0</v>
      </c>
      <c r="Q18" s="576">
        <f t="shared" si="4"/>
        <v>25331982</v>
      </c>
      <c r="R18" s="578">
        <f t="shared" si="5"/>
        <v>161697</v>
      </c>
      <c r="U18" s="578"/>
    </row>
    <row r="19" spans="1:21">
      <c r="A19" s="3">
        <v>9</v>
      </c>
      <c r="B19" s="29" t="s">
        <v>833</v>
      </c>
      <c r="C19" s="791">
        <v>188774</v>
      </c>
      <c r="D19" s="791">
        <v>2406</v>
      </c>
      <c r="E19" s="576">
        <v>0</v>
      </c>
      <c r="F19" s="576">
        <v>0</v>
      </c>
      <c r="G19" s="576">
        <f t="shared" si="1"/>
        <v>191180</v>
      </c>
      <c r="H19" s="791">
        <v>124547</v>
      </c>
      <c r="I19" s="791">
        <v>1486</v>
      </c>
      <c r="J19" s="578">
        <v>0</v>
      </c>
      <c r="K19" s="576">
        <v>0</v>
      </c>
      <c r="L19" s="576">
        <f t="shared" si="2"/>
        <v>126033</v>
      </c>
      <c r="M19" s="576">
        <f t="shared" si="3"/>
        <v>29517639</v>
      </c>
      <c r="N19" s="576">
        <f t="shared" si="0"/>
        <v>352182</v>
      </c>
      <c r="O19" s="576">
        <f t="shared" si="0"/>
        <v>0</v>
      </c>
      <c r="P19" s="29">
        <f t="shared" si="0"/>
        <v>0</v>
      </c>
      <c r="Q19" s="576">
        <f t="shared" si="4"/>
        <v>29869821</v>
      </c>
      <c r="R19" s="578">
        <f t="shared" si="5"/>
        <v>188774</v>
      </c>
      <c r="U19" s="578"/>
    </row>
    <row r="20" spans="1:21">
      <c r="A20" s="3">
        <v>10</v>
      </c>
      <c r="B20" s="29" t="s">
        <v>834</v>
      </c>
      <c r="C20" s="791">
        <v>31387</v>
      </c>
      <c r="D20" s="791">
        <v>0</v>
      </c>
      <c r="E20" s="576">
        <v>0</v>
      </c>
      <c r="F20" s="576">
        <v>0</v>
      </c>
      <c r="G20" s="576">
        <f t="shared" si="1"/>
        <v>31387</v>
      </c>
      <c r="H20" s="791">
        <v>28095</v>
      </c>
      <c r="I20" s="791">
        <v>0</v>
      </c>
      <c r="J20" s="578">
        <v>0</v>
      </c>
      <c r="K20" s="576">
        <v>0</v>
      </c>
      <c r="L20" s="576">
        <f t="shared" si="2"/>
        <v>28095</v>
      </c>
      <c r="M20" s="576">
        <f t="shared" si="3"/>
        <v>6658515</v>
      </c>
      <c r="N20" s="576">
        <f t="shared" si="0"/>
        <v>0</v>
      </c>
      <c r="O20" s="576">
        <f t="shared" si="0"/>
        <v>0</v>
      </c>
      <c r="P20" s="29">
        <f t="shared" si="0"/>
        <v>0</v>
      </c>
      <c r="Q20" s="576">
        <f t="shared" si="4"/>
        <v>6658515</v>
      </c>
      <c r="R20" s="578">
        <f t="shared" si="5"/>
        <v>31387</v>
      </c>
      <c r="U20" s="578"/>
    </row>
    <row r="21" spans="1:21">
      <c r="A21" s="3">
        <v>11</v>
      </c>
      <c r="B21" s="29" t="s">
        <v>835</v>
      </c>
      <c r="C21" s="791">
        <v>77618</v>
      </c>
      <c r="D21" s="791">
        <v>1105</v>
      </c>
      <c r="E21" s="576">
        <v>0</v>
      </c>
      <c r="F21" s="576">
        <v>0</v>
      </c>
      <c r="G21" s="576">
        <f t="shared" si="1"/>
        <v>78723</v>
      </c>
      <c r="H21" s="791">
        <v>61130</v>
      </c>
      <c r="I21" s="791">
        <v>1180</v>
      </c>
      <c r="J21" s="578">
        <v>0</v>
      </c>
      <c r="K21" s="576">
        <v>0</v>
      </c>
      <c r="L21" s="576">
        <f t="shared" si="2"/>
        <v>62310</v>
      </c>
      <c r="M21" s="576">
        <f t="shared" si="3"/>
        <v>14487810</v>
      </c>
      <c r="N21" s="576">
        <f t="shared" si="0"/>
        <v>279660</v>
      </c>
      <c r="O21" s="576">
        <f t="shared" si="0"/>
        <v>0</v>
      </c>
      <c r="P21" s="29">
        <f t="shared" si="0"/>
        <v>0</v>
      </c>
      <c r="Q21" s="576">
        <f t="shared" si="4"/>
        <v>14767470</v>
      </c>
      <c r="R21" s="578">
        <f t="shared" si="5"/>
        <v>77618</v>
      </c>
      <c r="U21" s="578"/>
    </row>
    <row r="22" spans="1:21">
      <c r="A22" s="3">
        <v>12</v>
      </c>
      <c r="B22" s="29" t="s">
        <v>836</v>
      </c>
      <c r="C22" s="791">
        <v>137245</v>
      </c>
      <c r="D22" s="791">
        <v>0</v>
      </c>
      <c r="E22" s="576">
        <v>0</v>
      </c>
      <c r="F22" s="576">
        <v>0</v>
      </c>
      <c r="G22" s="576">
        <f t="shared" si="1"/>
        <v>137245</v>
      </c>
      <c r="H22" s="791">
        <v>118506</v>
      </c>
      <c r="I22" s="791">
        <v>0</v>
      </c>
      <c r="J22" s="578">
        <v>0</v>
      </c>
      <c r="K22" s="576">
        <v>0</v>
      </c>
      <c r="L22" s="576">
        <f t="shared" si="2"/>
        <v>118506</v>
      </c>
      <c r="M22" s="576">
        <f t="shared" si="3"/>
        <v>28085922</v>
      </c>
      <c r="N22" s="576">
        <f t="shared" si="0"/>
        <v>0</v>
      </c>
      <c r="O22" s="576">
        <f t="shared" si="0"/>
        <v>0</v>
      </c>
      <c r="P22" s="29">
        <f t="shared" si="0"/>
        <v>0</v>
      </c>
      <c r="Q22" s="576">
        <f t="shared" si="4"/>
        <v>28085922</v>
      </c>
      <c r="R22" s="578">
        <f t="shared" si="5"/>
        <v>137245</v>
      </c>
      <c r="U22" s="578"/>
    </row>
    <row r="23" spans="1:21">
      <c r="A23" s="3">
        <v>13</v>
      </c>
      <c r="B23" s="29" t="s">
        <v>837</v>
      </c>
      <c r="C23" s="791">
        <v>244545</v>
      </c>
      <c r="D23" s="791">
        <v>1775</v>
      </c>
      <c r="E23" s="576">
        <v>0</v>
      </c>
      <c r="F23" s="576">
        <v>0</v>
      </c>
      <c r="G23" s="576">
        <f t="shared" si="1"/>
        <v>246320</v>
      </c>
      <c r="H23" s="791">
        <v>196002</v>
      </c>
      <c r="I23" s="791">
        <v>1319</v>
      </c>
      <c r="J23" s="578">
        <v>0</v>
      </c>
      <c r="K23" s="576">
        <v>0</v>
      </c>
      <c r="L23" s="576">
        <f t="shared" si="2"/>
        <v>197321</v>
      </c>
      <c r="M23" s="576">
        <f t="shared" si="3"/>
        <v>46452474</v>
      </c>
      <c r="N23" s="576">
        <f t="shared" si="0"/>
        <v>312603</v>
      </c>
      <c r="O23" s="576">
        <f t="shared" si="0"/>
        <v>0</v>
      </c>
      <c r="P23" s="29">
        <f t="shared" si="0"/>
        <v>0</v>
      </c>
      <c r="Q23" s="576">
        <f t="shared" si="4"/>
        <v>46765077</v>
      </c>
      <c r="R23" s="578">
        <f t="shared" si="5"/>
        <v>244545</v>
      </c>
      <c r="U23" s="578"/>
    </row>
    <row r="24" spans="1:21">
      <c r="A24" s="3">
        <v>14</v>
      </c>
      <c r="B24" s="29" t="s">
        <v>838</v>
      </c>
      <c r="C24" s="791">
        <v>57319</v>
      </c>
      <c r="D24" s="791">
        <v>1446</v>
      </c>
      <c r="E24" s="576">
        <v>0</v>
      </c>
      <c r="F24" s="576">
        <v>0</v>
      </c>
      <c r="G24" s="576">
        <f t="shared" si="1"/>
        <v>58765</v>
      </c>
      <c r="H24" s="791">
        <v>50966</v>
      </c>
      <c r="I24" s="791">
        <v>1096</v>
      </c>
      <c r="J24" s="578">
        <v>0</v>
      </c>
      <c r="K24" s="576">
        <v>0</v>
      </c>
      <c r="L24" s="576">
        <f t="shared" si="2"/>
        <v>52062</v>
      </c>
      <c r="M24" s="576">
        <f t="shared" si="3"/>
        <v>12078942</v>
      </c>
      <c r="N24" s="576">
        <f t="shared" si="0"/>
        <v>259752</v>
      </c>
      <c r="O24" s="576">
        <f t="shared" si="0"/>
        <v>0</v>
      </c>
      <c r="P24" s="29">
        <f t="shared" si="0"/>
        <v>0</v>
      </c>
      <c r="Q24" s="576">
        <f t="shared" si="4"/>
        <v>12338694</v>
      </c>
      <c r="R24" s="578">
        <f t="shared" si="5"/>
        <v>57319</v>
      </c>
      <c r="U24" s="578"/>
    </row>
    <row r="25" spans="1:21">
      <c r="A25" s="3">
        <v>15</v>
      </c>
      <c r="B25" s="29" t="s">
        <v>839</v>
      </c>
      <c r="C25" s="791">
        <v>57800</v>
      </c>
      <c r="D25" s="791">
        <v>0</v>
      </c>
      <c r="E25" s="576">
        <v>0</v>
      </c>
      <c r="F25" s="576">
        <v>0</v>
      </c>
      <c r="G25" s="576">
        <f t="shared" si="1"/>
        <v>57800</v>
      </c>
      <c r="H25" s="791">
        <v>41976</v>
      </c>
      <c r="I25" s="791">
        <v>0</v>
      </c>
      <c r="J25" s="578">
        <v>0</v>
      </c>
      <c r="K25" s="576">
        <v>0</v>
      </c>
      <c r="L25" s="576">
        <f t="shared" si="2"/>
        <v>41976</v>
      </c>
      <c r="M25" s="576">
        <f t="shared" si="3"/>
        <v>9948312</v>
      </c>
      <c r="N25" s="576">
        <f t="shared" si="0"/>
        <v>0</v>
      </c>
      <c r="O25" s="576">
        <f t="shared" si="0"/>
        <v>0</v>
      </c>
      <c r="P25" s="29">
        <f t="shared" si="0"/>
        <v>0</v>
      </c>
      <c r="Q25" s="576">
        <f t="shared" si="4"/>
        <v>9948312</v>
      </c>
      <c r="R25" s="578">
        <f t="shared" si="5"/>
        <v>57800</v>
      </c>
      <c r="U25" s="578"/>
    </row>
    <row r="26" spans="1:21">
      <c r="A26" s="3">
        <v>16</v>
      </c>
      <c r="B26" s="29" t="s">
        <v>840</v>
      </c>
      <c r="C26" s="791">
        <v>30430</v>
      </c>
      <c r="D26" s="791">
        <v>0</v>
      </c>
      <c r="E26" s="576">
        <v>0</v>
      </c>
      <c r="F26" s="576">
        <v>0</v>
      </c>
      <c r="G26" s="576">
        <f t="shared" si="1"/>
        <v>30430</v>
      </c>
      <c r="H26" s="791">
        <v>22379</v>
      </c>
      <c r="I26" s="791">
        <v>0</v>
      </c>
      <c r="J26" s="578">
        <v>0</v>
      </c>
      <c r="K26" s="576">
        <v>0</v>
      </c>
      <c r="L26" s="576">
        <f t="shared" si="2"/>
        <v>22379</v>
      </c>
      <c r="M26" s="576">
        <f t="shared" si="3"/>
        <v>5303823</v>
      </c>
      <c r="N26" s="576">
        <f t="shared" si="0"/>
        <v>0</v>
      </c>
      <c r="O26" s="576">
        <f t="shared" si="0"/>
        <v>0</v>
      </c>
      <c r="P26" s="29">
        <f t="shared" si="0"/>
        <v>0</v>
      </c>
      <c r="Q26" s="576">
        <f t="shared" si="4"/>
        <v>5303823</v>
      </c>
      <c r="R26" s="578">
        <f t="shared" si="5"/>
        <v>30430</v>
      </c>
      <c r="U26" s="578"/>
    </row>
    <row r="27" spans="1:21">
      <c r="A27" s="3">
        <v>17</v>
      </c>
      <c r="B27" s="29" t="s">
        <v>841</v>
      </c>
      <c r="C27" s="791">
        <v>180284</v>
      </c>
      <c r="D27" s="791">
        <v>0</v>
      </c>
      <c r="E27" s="576">
        <v>0</v>
      </c>
      <c r="F27" s="576">
        <v>0</v>
      </c>
      <c r="G27" s="576">
        <f t="shared" si="1"/>
        <v>180284</v>
      </c>
      <c r="H27" s="791">
        <v>94533</v>
      </c>
      <c r="I27" s="791">
        <v>0</v>
      </c>
      <c r="J27" s="578">
        <v>0</v>
      </c>
      <c r="K27" s="576">
        <v>0</v>
      </c>
      <c r="L27" s="576">
        <f t="shared" si="2"/>
        <v>94533</v>
      </c>
      <c r="M27" s="576">
        <f t="shared" si="3"/>
        <v>22404321</v>
      </c>
      <c r="N27" s="576">
        <f t="shared" si="3"/>
        <v>0</v>
      </c>
      <c r="O27" s="576">
        <f t="shared" si="3"/>
        <v>0</v>
      </c>
      <c r="P27" s="29">
        <f t="shared" si="3"/>
        <v>0</v>
      </c>
      <c r="Q27" s="576">
        <f t="shared" si="4"/>
        <v>22404321</v>
      </c>
      <c r="R27" s="578">
        <f t="shared" si="5"/>
        <v>180284</v>
      </c>
      <c r="U27" s="578"/>
    </row>
    <row r="28" spans="1:21">
      <c r="A28" s="3">
        <v>18</v>
      </c>
      <c r="B28" s="29" t="s">
        <v>842</v>
      </c>
      <c r="C28" s="791">
        <v>102124</v>
      </c>
      <c r="D28" s="791">
        <v>1672</v>
      </c>
      <c r="E28" s="576">
        <v>0</v>
      </c>
      <c r="F28" s="576">
        <v>0</v>
      </c>
      <c r="G28" s="576">
        <f t="shared" si="1"/>
        <v>103796</v>
      </c>
      <c r="H28" s="791">
        <v>88433</v>
      </c>
      <c r="I28" s="791">
        <v>1341</v>
      </c>
      <c r="J28" s="578">
        <v>0</v>
      </c>
      <c r="K28" s="576">
        <v>0</v>
      </c>
      <c r="L28" s="576">
        <f t="shared" si="2"/>
        <v>89774</v>
      </c>
      <c r="M28" s="576">
        <f t="shared" si="3"/>
        <v>20958621</v>
      </c>
      <c r="N28" s="576">
        <f t="shared" si="3"/>
        <v>317817</v>
      </c>
      <c r="O28" s="576">
        <f t="shared" si="3"/>
        <v>0</v>
      </c>
      <c r="P28" s="29">
        <f t="shared" si="3"/>
        <v>0</v>
      </c>
      <c r="Q28" s="576">
        <f t="shared" si="4"/>
        <v>21276438</v>
      </c>
      <c r="R28" s="578">
        <f t="shared" si="5"/>
        <v>102124</v>
      </c>
      <c r="U28" s="578"/>
    </row>
    <row r="29" spans="1:21">
      <c r="A29" s="3">
        <v>19</v>
      </c>
      <c r="B29" s="29" t="s">
        <v>843</v>
      </c>
      <c r="C29" s="791">
        <v>105210</v>
      </c>
      <c r="D29" s="791">
        <v>0</v>
      </c>
      <c r="E29" s="576">
        <v>0</v>
      </c>
      <c r="F29" s="576">
        <v>0</v>
      </c>
      <c r="G29" s="576">
        <f t="shared" si="1"/>
        <v>105210</v>
      </c>
      <c r="H29" s="791">
        <v>79946</v>
      </c>
      <c r="I29" s="791">
        <v>0</v>
      </c>
      <c r="J29" s="578">
        <v>0</v>
      </c>
      <c r="K29" s="576">
        <v>0</v>
      </c>
      <c r="L29" s="576">
        <f t="shared" si="2"/>
        <v>79946</v>
      </c>
      <c r="M29" s="576">
        <f t="shared" si="3"/>
        <v>18947202</v>
      </c>
      <c r="N29" s="576">
        <f t="shared" si="3"/>
        <v>0</v>
      </c>
      <c r="O29" s="576">
        <f t="shared" si="3"/>
        <v>0</v>
      </c>
      <c r="P29" s="29">
        <f t="shared" si="3"/>
        <v>0</v>
      </c>
      <c r="Q29" s="576">
        <f t="shared" si="4"/>
        <v>18947202</v>
      </c>
      <c r="R29" s="578">
        <f t="shared" si="5"/>
        <v>105210</v>
      </c>
      <c r="U29" s="578"/>
    </row>
    <row r="30" spans="1:21">
      <c r="A30" s="3">
        <v>20</v>
      </c>
      <c r="B30" s="29" t="s">
        <v>844</v>
      </c>
      <c r="C30" s="791">
        <v>98048</v>
      </c>
      <c r="D30" s="791">
        <v>250</v>
      </c>
      <c r="E30" s="576">
        <v>0</v>
      </c>
      <c r="F30" s="576">
        <v>0</v>
      </c>
      <c r="G30" s="576">
        <f t="shared" si="1"/>
        <v>98298</v>
      </c>
      <c r="H30" s="791">
        <v>85950</v>
      </c>
      <c r="I30" s="791">
        <v>258</v>
      </c>
      <c r="J30" s="578">
        <v>0</v>
      </c>
      <c r="K30" s="576">
        <v>0</v>
      </c>
      <c r="L30" s="576">
        <f t="shared" si="2"/>
        <v>86208</v>
      </c>
      <c r="M30" s="576">
        <f t="shared" si="3"/>
        <v>20370150</v>
      </c>
      <c r="N30" s="576">
        <f t="shared" si="3"/>
        <v>61146</v>
      </c>
      <c r="O30" s="576">
        <f t="shared" si="3"/>
        <v>0</v>
      </c>
      <c r="P30" s="29">
        <f t="shared" si="3"/>
        <v>0</v>
      </c>
      <c r="Q30" s="576">
        <f t="shared" si="4"/>
        <v>20431296</v>
      </c>
      <c r="R30" s="578">
        <f t="shared" si="5"/>
        <v>98048</v>
      </c>
      <c r="U30" s="578"/>
    </row>
    <row r="31" spans="1:21">
      <c r="A31" s="3">
        <v>21</v>
      </c>
      <c r="B31" s="29" t="s">
        <v>845</v>
      </c>
      <c r="C31" s="791">
        <v>167634</v>
      </c>
      <c r="D31" s="791">
        <v>2345</v>
      </c>
      <c r="E31" s="576">
        <v>0</v>
      </c>
      <c r="F31" s="576">
        <v>664</v>
      </c>
      <c r="G31" s="576">
        <f t="shared" si="1"/>
        <v>170643</v>
      </c>
      <c r="H31" s="791">
        <v>115264</v>
      </c>
      <c r="I31" s="791">
        <v>1513</v>
      </c>
      <c r="J31" s="578">
        <v>158</v>
      </c>
      <c r="K31" s="576">
        <v>248</v>
      </c>
      <c r="L31" s="576">
        <f t="shared" si="2"/>
        <v>117183</v>
      </c>
      <c r="M31" s="576">
        <f t="shared" si="3"/>
        <v>27317568</v>
      </c>
      <c r="N31" s="576">
        <f t="shared" si="3"/>
        <v>358581</v>
      </c>
      <c r="O31" s="576">
        <f t="shared" si="3"/>
        <v>37446</v>
      </c>
      <c r="P31" s="29">
        <f t="shared" si="3"/>
        <v>58776</v>
      </c>
      <c r="Q31" s="576">
        <f t="shared" si="4"/>
        <v>27772371</v>
      </c>
      <c r="R31" s="578">
        <f t="shared" si="5"/>
        <v>167634</v>
      </c>
      <c r="U31" s="578"/>
    </row>
    <row r="32" spans="1:21">
      <c r="A32" s="3">
        <v>22</v>
      </c>
      <c r="B32" s="29" t="s">
        <v>846</v>
      </c>
      <c r="C32" s="791">
        <v>106023</v>
      </c>
      <c r="D32" s="791">
        <v>338</v>
      </c>
      <c r="E32" s="576">
        <v>0</v>
      </c>
      <c r="F32" s="576">
        <v>0</v>
      </c>
      <c r="G32" s="576">
        <f t="shared" si="1"/>
        <v>106361</v>
      </c>
      <c r="H32" s="791">
        <v>67608</v>
      </c>
      <c r="I32" s="791">
        <v>212</v>
      </c>
      <c r="J32" s="578">
        <v>0</v>
      </c>
      <c r="K32" s="576">
        <v>0</v>
      </c>
      <c r="L32" s="576">
        <f t="shared" si="2"/>
        <v>67820</v>
      </c>
      <c r="M32" s="576">
        <f t="shared" si="3"/>
        <v>16023096</v>
      </c>
      <c r="N32" s="576">
        <f t="shared" si="3"/>
        <v>50244</v>
      </c>
      <c r="O32" s="576">
        <f t="shared" si="3"/>
        <v>0</v>
      </c>
      <c r="P32" s="29">
        <f t="shared" si="3"/>
        <v>0</v>
      </c>
      <c r="Q32" s="576">
        <f t="shared" si="4"/>
        <v>16073340</v>
      </c>
      <c r="R32" s="578">
        <f t="shared" si="5"/>
        <v>106023</v>
      </c>
      <c r="U32" s="578"/>
    </row>
    <row r="33" spans="1:21">
      <c r="A33" s="3">
        <v>23</v>
      </c>
      <c r="B33" s="29" t="s">
        <v>847</v>
      </c>
      <c r="C33" s="791">
        <v>110506</v>
      </c>
      <c r="D33" s="791">
        <v>46</v>
      </c>
      <c r="E33" s="576">
        <v>53</v>
      </c>
      <c r="F33" s="576">
        <v>0</v>
      </c>
      <c r="G33" s="576">
        <f t="shared" si="1"/>
        <v>110605</v>
      </c>
      <c r="H33" s="791">
        <v>90886</v>
      </c>
      <c r="I33" s="791">
        <v>31</v>
      </c>
      <c r="J33" s="578">
        <v>43</v>
      </c>
      <c r="K33" s="576">
        <v>0</v>
      </c>
      <c r="L33" s="576">
        <f t="shared" si="2"/>
        <v>90960</v>
      </c>
      <c r="M33" s="576">
        <f t="shared" si="3"/>
        <v>21539982</v>
      </c>
      <c r="N33" s="576">
        <f t="shared" si="3"/>
        <v>7347</v>
      </c>
      <c r="O33" s="576">
        <f t="shared" si="3"/>
        <v>10191</v>
      </c>
      <c r="P33" s="29">
        <f t="shared" si="3"/>
        <v>0</v>
      </c>
      <c r="Q33" s="576">
        <f t="shared" si="4"/>
        <v>21557520</v>
      </c>
      <c r="R33" s="578">
        <f t="shared" si="5"/>
        <v>110506</v>
      </c>
      <c r="U33" s="578"/>
    </row>
    <row r="34" spans="1:21" ht="12.75" customHeight="1">
      <c r="A34" s="3">
        <v>24</v>
      </c>
      <c r="B34" s="29" t="s">
        <v>848</v>
      </c>
      <c r="C34" s="791">
        <v>93029</v>
      </c>
      <c r="D34" s="791">
        <v>0</v>
      </c>
      <c r="E34" s="576">
        <v>0</v>
      </c>
      <c r="F34" s="576">
        <v>0</v>
      </c>
      <c r="G34" s="576">
        <f t="shared" si="1"/>
        <v>93029</v>
      </c>
      <c r="H34" s="791">
        <v>73933</v>
      </c>
      <c r="I34" s="791">
        <v>0</v>
      </c>
      <c r="J34" s="578">
        <v>0</v>
      </c>
      <c r="K34" s="576">
        <v>0</v>
      </c>
      <c r="L34" s="576">
        <f t="shared" si="2"/>
        <v>73933</v>
      </c>
      <c r="M34" s="576">
        <f t="shared" si="3"/>
        <v>17522121</v>
      </c>
      <c r="N34" s="576">
        <f t="shared" si="3"/>
        <v>0</v>
      </c>
      <c r="O34" s="576">
        <f t="shared" si="3"/>
        <v>0</v>
      </c>
      <c r="P34" s="29">
        <f t="shared" si="3"/>
        <v>0</v>
      </c>
      <c r="Q34" s="576">
        <f t="shared" si="4"/>
        <v>17522121</v>
      </c>
      <c r="R34" s="578">
        <f t="shared" si="5"/>
        <v>93029</v>
      </c>
      <c r="U34" s="578"/>
    </row>
    <row r="35" spans="1:21" ht="12.75" customHeight="1">
      <c r="A35" s="3">
        <v>25</v>
      </c>
      <c r="B35" s="29" t="s">
        <v>849</v>
      </c>
      <c r="C35" s="791">
        <v>42219</v>
      </c>
      <c r="D35" s="791">
        <v>871</v>
      </c>
      <c r="E35" s="576">
        <v>0</v>
      </c>
      <c r="F35" s="576">
        <v>0</v>
      </c>
      <c r="G35" s="576">
        <f t="shared" si="1"/>
        <v>43090</v>
      </c>
      <c r="H35" s="791">
        <v>37694</v>
      </c>
      <c r="I35" s="791">
        <v>662</v>
      </c>
      <c r="J35" s="578">
        <v>0</v>
      </c>
      <c r="K35" s="576">
        <v>0</v>
      </c>
      <c r="L35" s="576">
        <f t="shared" si="2"/>
        <v>38356</v>
      </c>
      <c r="M35" s="576">
        <f t="shared" si="3"/>
        <v>8933478</v>
      </c>
      <c r="N35" s="576">
        <f t="shared" si="3"/>
        <v>156894</v>
      </c>
      <c r="O35" s="576">
        <f t="shared" si="3"/>
        <v>0</v>
      </c>
      <c r="P35" s="29">
        <f t="shared" si="3"/>
        <v>0</v>
      </c>
      <c r="Q35" s="576">
        <f t="shared" si="4"/>
        <v>9090372</v>
      </c>
      <c r="R35" s="578">
        <f t="shared" si="5"/>
        <v>42219</v>
      </c>
      <c r="U35" s="578"/>
    </row>
    <row r="36" spans="1:21" ht="12.75" customHeight="1">
      <c r="A36" s="3">
        <v>26</v>
      </c>
      <c r="B36" s="29" t="s">
        <v>850</v>
      </c>
      <c r="C36" s="791">
        <v>50307</v>
      </c>
      <c r="D36" s="791">
        <v>267</v>
      </c>
      <c r="E36" s="576">
        <v>0</v>
      </c>
      <c r="F36" s="576">
        <v>0</v>
      </c>
      <c r="G36" s="576">
        <f t="shared" si="1"/>
        <v>50574</v>
      </c>
      <c r="H36" s="791">
        <v>47672</v>
      </c>
      <c r="I36" s="791">
        <v>204</v>
      </c>
      <c r="J36" s="578">
        <v>0</v>
      </c>
      <c r="K36" s="576">
        <v>0</v>
      </c>
      <c r="L36" s="576">
        <f t="shared" si="2"/>
        <v>47876</v>
      </c>
      <c r="M36" s="576">
        <f t="shared" si="3"/>
        <v>11298264</v>
      </c>
      <c r="N36" s="576">
        <f t="shared" si="3"/>
        <v>48348</v>
      </c>
      <c r="O36" s="576">
        <f t="shared" si="3"/>
        <v>0</v>
      </c>
      <c r="P36" s="29">
        <f t="shared" si="3"/>
        <v>0</v>
      </c>
      <c r="Q36" s="576">
        <f t="shared" si="4"/>
        <v>11346612</v>
      </c>
      <c r="R36" s="578">
        <f t="shared" si="5"/>
        <v>50307</v>
      </c>
      <c r="U36" s="578"/>
    </row>
    <row r="37" spans="1:21" ht="15">
      <c r="A37" s="3">
        <v>27</v>
      </c>
      <c r="B37" s="580" t="s">
        <v>851</v>
      </c>
      <c r="C37" s="791">
        <v>83772</v>
      </c>
      <c r="D37" s="791">
        <v>0</v>
      </c>
      <c r="E37" s="576">
        <v>0</v>
      </c>
      <c r="F37" s="576">
        <v>0</v>
      </c>
      <c r="G37" s="576">
        <f t="shared" si="1"/>
        <v>83772</v>
      </c>
      <c r="H37" s="791">
        <v>73536</v>
      </c>
      <c r="I37" s="791">
        <v>0</v>
      </c>
      <c r="J37" s="578">
        <v>0</v>
      </c>
      <c r="K37" s="576">
        <v>0</v>
      </c>
      <c r="L37" s="576">
        <f t="shared" si="2"/>
        <v>73536</v>
      </c>
      <c r="M37" s="576">
        <f t="shared" si="3"/>
        <v>17428032</v>
      </c>
      <c r="N37" s="576">
        <f t="shared" si="3"/>
        <v>0</v>
      </c>
      <c r="O37" s="576">
        <f t="shared" si="3"/>
        <v>0</v>
      </c>
      <c r="P37" s="29">
        <f t="shared" si="3"/>
        <v>0</v>
      </c>
      <c r="Q37" s="576">
        <f t="shared" si="4"/>
        <v>17428032</v>
      </c>
      <c r="R37" s="578">
        <f t="shared" si="5"/>
        <v>83772</v>
      </c>
      <c r="U37" s="578"/>
    </row>
    <row r="38" spans="1:21">
      <c r="A38" s="3">
        <v>28</v>
      </c>
      <c r="B38" s="581" t="s">
        <v>852</v>
      </c>
      <c r="C38" s="791">
        <v>46977</v>
      </c>
      <c r="D38" s="791">
        <v>0</v>
      </c>
      <c r="E38" s="576">
        <v>0</v>
      </c>
      <c r="F38" s="576">
        <v>0</v>
      </c>
      <c r="G38" s="576">
        <f t="shared" si="1"/>
        <v>46977</v>
      </c>
      <c r="H38" s="791">
        <v>36263</v>
      </c>
      <c r="I38" s="791">
        <v>0</v>
      </c>
      <c r="J38" s="578">
        <v>0</v>
      </c>
      <c r="K38" s="576">
        <v>0</v>
      </c>
      <c r="L38" s="576">
        <f t="shared" si="2"/>
        <v>36263</v>
      </c>
      <c r="M38" s="576">
        <f t="shared" si="3"/>
        <v>8594331</v>
      </c>
      <c r="N38" s="576">
        <f t="shared" si="3"/>
        <v>0</v>
      </c>
      <c r="O38" s="576">
        <f t="shared" si="3"/>
        <v>0</v>
      </c>
      <c r="P38" s="29">
        <f t="shared" si="3"/>
        <v>0</v>
      </c>
      <c r="Q38" s="576">
        <f t="shared" si="4"/>
        <v>8594331</v>
      </c>
      <c r="R38" s="578">
        <f t="shared" si="5"/>
        <v>46977</v>
      </c>
      <c r="U38" s="578"/>
    </row>
    <row r="39" spans="1:21">
      <c r="A39" s="3">
        <v>29</v>
      </c>
      <c r="B39" s="581" t="s">
        <v>1041</v>
      </c>
      <c r="C39" s="791">
        <v>83870</v>
      </c>
      <c r="D39" s="791">
        <v>0</v>
      </c>
      <c r="E39" s="576">
        <v>0</v>
      </c>
      <c r="F39" s="576">
        <v>0</v>
      </c>
      <c r="G39" s="576">
        <f t="shared" si="1"/>
        <v>83870</v>
      </c>
      <c r="H39" s="791">
        <v>83029</v>
      </c>
      <c r="I39" s="791">
        <v>0</v>
      </c>
      <c r="J39" s="578">
        <v>0</v>
      </c>
      <c r="K39" s="576">
        <v>0</v>
      </c>
      <c r="L39" s="576">
        <f t="shared" si="2"/>
        <v>83029</v>
      </c>
      <c r="M39" s="576">
        <f t="shared" si="3"/>
        <v>19677873</v>
      </c>
      <c r="N39" s="576">
        <f t="shared" si="3"/>
        <v>0</v>
      </c>
      <c r="O39" s="576">
        <f t="shared" si="3"/>
        <v>0</v>
      </c>
      <c r="P39" s="29">
        <f t="shared" si="3"/>
        <v>0</v>
      </c>
      <c r="Q39" s="576">
        <f t="shared" si="4"/>
        <v>19677873</v>
      </c>
      <c r="R39" s="578">
        <f t="shared" si="5"/>
        <v>83870</v>
      </c>
      <c r="U39" s="578"/>
    </row>
    <row r="40" spans="1:21">
      <c r="A40" s="3">
        <v>30</v>
      </c>
      <c r="B40" s="581" t="s">
        <v>1042</v>
      </c>
      <c r="C40" s="791">
        <v>35459</v>
      </c>
      <c r="D40" s="791">
        <v>0</v>
      </c>
      <c r="E40" s="576">
        <v>0</v>
      </c>
      <c r="F40" s="576">
        <v>0</v>
      </c>
      <c r="G40" s="576">
        <f t="shared" si="1"/>
        <v>35459</v>
      </c>
      <c r="H40" s="791">
        <v>28006</v>
      </c>
      <c r="I40" s="791">
        <v>0</v>
      </c>
      <c r="J40" s="578">
        <v>0</v>
      </c>
      <c r="K40" s="576">
        <v>0</v>
      </c>
      <c r="L40" s="576">
        <f t="shared" si="2"/>
        <v>28006</v>
      </c>
      <c r="M40" s="576">
        <f t="shared" si="3"/>
        <v>6637422</v>
      </c>
      <c r="N40" s="576">
        <f t="shared" si="3"/>
        <v>0</v>
      </c>
      <c r="O40" s="576">
        <f t="shared" si="3"/>
        <v>0</v>
      </c>
      <c r="P40" s="29">
        <f t="shared" si="3"/>
        <v>0</v>
      </c>
      <c r="Q40" s="576">
        <f t="shared" si="4"/>
        <v>6637422</v>
      </c>
      <c r="R40" s="578">
        <f t="shared" si="5"/>
        <v>35459</v>
      </c>
      <c r="S40" s="578"/>
      <c r="T40" s="791"/>
      <c r="U40" s="578"/>
    </row>
    <row r="41" spans="1:21">
      <c r="A41" s="3">
        <v>31</v>
      </c>
      <c r="B41" s="581" t="s">
        <v>1043</v>
      </c>
      <c r="C41" s="791">
        <v>73758</v>
      </c>
      <c r="D41" s="791">
        <v>0</v>
      </c>
      <c r="E41" s="576">
        <v>0</v>
      </c>
      <c r="F41" s="576">
        <v>0</v>
      </c>
      <c r="G41" s="576">
        <f t="shared" si="1"/>
        <v>73758</v>
      </c>
      <c r="H41" s="791">
        <v>45383</v>
      </c>
      <c r="I41" s="791">
        <v>0</v>
      </c>
      <c r="J41" s="578">
        <v>0</v>
      </c>
      <c r="K41" s="576">
        <v>0</v>
      </c>
      <c r="L41" s="576">
        <f t="shared" si="2"/>
        <v>45383</v>
      </c>
      <c r="M41" s="576">
        <f t="shared" si="3"/>
        <v>10755771</v>
      </c>
      <c r="N41" s="576">
        <f t="shared" si="3"/>
        <v>0</v>
      </c>
      <c r="O41" s="576">
        <f t="shared" si="3"/>
        <v>0</v>
      </c>
      <c r="P41" s="29">
        <f t="shared" si="3"/>
        <v>0</v>
      </c>
      <c r="Q41" s="576">
        <f t="shared" si="4"/>
        <v>10755771</v>
      </c>
      <c r="R41" s="578">
        <f t="shared" si="5"/>
        <v>73758</v>
      </c>
      <c r="S41" s="578"/>
      <c r="T41" s="791"/>
      <c r="U41" s="578"/>
    </row>
    <row r="42" spans="1:21">
      <c r="A42" s="3">
        <v>32</v>
      </c>
      <c r="B42" s="581" t="s">
        <v>1044</v>
      </c>
      <c r="C42" s="791">
        <v>79466</v>
      </c>
      <c r="D42" s="791">
        <v>0</v>
      </c>
      <c r="E42" s="576">
        <v>0</v>
      </c>
      <c r="F42" s="576">
        <v>0</v>
      </c>
      <c r="G42" s="576">
        <f t="shared" si="1"/>
        <v>79466</v>
      </c>
      <c r="H42" s="791">
        <v>75242</v>
      </c>
      <c r="I42" s="791">
        <v>0</v>
      </c>
      <c r="J42" s="578">
        <v>0</v>
      </c>
      <c r="K42" s="576">
        <v>0</v>
      </c>
      <c r="L42" s="576">
        <f t="shared" si="2"/>
        <v>75242</v>
      </c>
      <c r="M42" s="576">
        <f t="shared" si="3"/>
        <v>17832354</v>
      </c>
      <c r="N42" s="576">
        <f t="shared" si="3"/>
        <v>0</v>
      </c>
      <c r="O42" s="576">
        <f t="shared" si="3"/>
        <v>0</v>
      </c>
      <c r="P42" s="29">
        <f t="shared" si="3"/>
        <v>0</v>
      </c>
      <c r="Q42" s="576">
        <f t="shared" si="4"/>
        <v>17832354</v>
      </c>
      <c r="R42" s="578">
        <f t="shared" si="5"/>
        <v>79466</v>
      </c>
      <c r="S42" s="578"/>
      <c r="T42" s="791"/>
      <c r="U42" s="578"/>
    </row>
    <row r="43" spans="1:21">
      <c r="A43" s="3">
        <v>33</v>
      </c>
      <c r="B43" s="581" t="s">
        <v>857</v>
      </c>
      <c r="C43" s="791">
        <v>60718</v>
      </c>
      <c r="D43" s="791">
        <v>0</v>
      </c>
      <c r="E43" s="576">
        <v>0</v>
      </c>
      <c r="F43" s="576">
        <v>0</v>
      </c>
      <c r="G43" s="576">
        <f t="shared" si="1"/>
        <v>60718</v>
      </c>
      <c r="H43" s="791">
        <v>40799</v>
      </c>
      <c r="I43" s="791">
        <v>0</v>
      </c>
      <c r="J43" s="578">
        <v>0</v>
      </c>
      <c r="K43" s="576">
        <v>0</v>
      </c>
      <c r="L43" s="576">
        <f t="shared" si="2"/>
        <v>40799</v>
      </c>
      <c r="M43" s="576">
        <f t="shared" si="3"/>
        <v>9669363</v>
      </c>
      <c r="N43" s="576">
        <f t="shared" si="3"/>
        <v>0</v>
      </c>
      <c r="O43" s="576">
        <f t="shared" si="3"/>
        <v>0</v>
      </c>
      <c r="P43" s="29">
        <f t="shared" si="3"/>
        <v>0</v>
      </c>
      <c r="Q43" s="576">
        <f t="shared" si="4"/>
        <v>9669363</v>
      </c>
      <c r="R43" s="578">
        <f t="shared" si="5"/>
        <v>60718</v>
      </c>
      <c r="S43" s="578"/>
      <c r="T43" s="791"/>
      <c r="U43" s="578"/>
    </row>
    <row r="44" spans="1:21">
      <c r="A44" s="3" t="s">
        <v>18</v>
      </c>
      <c r="B44" s="29"/>
      <c r="C44" s="576">
        <f t="shared" ref="C44:D44" si="6">SUM(C11:C43)</f>
        <v>3549655</v>
      </c>
      <c r="D44" s="576">
        <f t="shared" si="6"/>
        <v>18619</v>
      </c>
      <c r="E44" s="576">
        <f>SUM(E11:E43)</f>
        <v>5741</v>
      </c>
      <c r="F44" s="576">
        <f t="shared" ref="F44" si="7">SUM(F11:F43)</f>
        <v>664</v>
      </c>
      <c r="G44" s="576">
        <f t="shared" ref="G44:H44" si="8">SUM(G11:G43)</f>
        <v>3574679</v>
      </c>
      <c r="H44" s="576">
        <f t="shared" si="8"/>
        <v>2659224</v>
      </c>
      <c r="I44" s="791">
        <v>0</v>
      </c>
      <c r="J44" s="576">
        <f t="shared" ref="J44:K44" si="9">SUM(J11:J43)</f>
        <v>1308</v>
      </c>
      <c r="K44" s="576">
        <f t="shared" si="9"/>
        <v>248</v>
      </c>
      <c r="L44" s="576">
        <f t="shared" ref="L44" si="10">SUM(L11:L43)</f>
        <v>2672859</v>
      </c>
      <c r="M44" s="576">
        <f t="shared" ref="M44:N44" si="11">SUM(M11:M43)</f>
        <v>630236088</v>
      </c>
      <c r="N44" s="576">
        <f t="shared" si="11"/>
        <v>2862723</v>
      </c>
      <c r="O44" s="576">
        <f t="shared" ref="O44" si="12">SUM(O11:O43)</f>
        <v>309996</v>
      </c>
      <c r="P44" s="576">
        <f t="shared" ref="P44:Q44" si="13">SUM(P11:P43)</f>
        <v>58776</v>
      </c>
      <c r="Q44" s="576">
        <f t="shared" si="13"/>
        <v>633467583</v>
      </c>
      <c r="R44" s="576">
        <f t="shared" ref="R44" si="14">SUM(R11:R43)</f>
        <v>3549655</v>
      </c>
      <c r="S44" s="578"/>
      <c r="T44" s="791"/>
      <c r="U44" s="578"/>
    </row>
    <row r="45" spans="1:21">
      <c r="A45" s="582"/>
      <c r="B45" s="30"/>
      <c r="C45" s="30"/>
      <c r="D45" s="30"/>
      <c r="E45" s="30"/>
      <c r="F45" s="30"/>
      <c r="G45" s="30"/>
      <c r="H45" s="790"/>
      <c r="I45" s="30"/>
      <c r="J45" s="30"/>
      <c r="K45" s="30"/>
      <c r="L45" s="30"/>
      <c r="M45" s="30"/>
      <c r="N45" s="30"/>
      <c r="O45" s="30"/>
      <c r="P45" s="30"/>
      <c r="Q45" s="30"/>
      <c r="S45" s="578"/>
      <c r="T45" s="791"/>
    </row>
    <row r="46" spans="1:21">
      <c r="A46" s="583" t="s">
        <v>8</v>
      </c>
      <c r="L46" s="578"/>
      <c r="S46" s="578"/>
      <c r="T46" s="791"/>
    </row>
    <row r="47" spans="1:21">
      <c r="A47" s="15" t="s">
        <v>9</v>
      </c>
      <c r="S47" s="578"/>
      <c r="T47" s="791"/>
    </row>
    <row r="48" spans="1:21">
      <c r="A48" s="15" t="s">
        <v>10</v>
      </c>
      <c r="I48" s="12"/>
      <c r="J48" s="12"/>
      <c r="K48" s="12"/>
      <c r="L48" s="12"/>
      <c r="S48" s="578"/>
      <c r="T48" s="791"/>
    </row>
    <row r="49" spans="1:20">
      <c r="A49" s="15" t="s">
        <v>429</v>
      </c>
      <c r="J49" s="12"/>
      <c r="K49" s="12"/>
      <c r="L49" s="12"/>
      <c r="S49" s="578"/>
      <c r="T49" s="791"/>
    </row>
    <row r="50" spans="1:20">
      <c r="C50" s="15" t="s">
        <v>430</v>
      </c>
      <c r="E50" s="30"/>
      <c r="F50" s="30"/>
      <c r="G50" s="30"/>
      <c r="H50" s="30"/>
      <c r="I50" s="30"/>
      <c r="J50" s="30"/>
      <c r="K50" s="30"/>
      <c r="L50" s="30"/>
      <c r="M50" s="30"/>
      <c r="S50" s="578"/>
      <c r="T50" s="791"/>
    </row>
    <row r="51" spans="1:20" s="991" customFormat="1">
      <c r="A51" s="15" t="s">
        <v>12</v>
      </c>
      <c r="B51" s="15"/>
      <c r="C51" s="15"/>
      <c r="D51" s="15"/>
      <c r="E51" s="15"/>
      <c r="F51" s="15"/>
      <c r="G51" s="15"/>
      <c r="I51" s="15"/>
      <c r="O51" s="990"/>
      <c r="P51" s="990"/>
      <c r="Q51" s="990"/>
    </row>
    <row r="52" spans="1:20" customFormat="1" ht="15.6" customHeight="1">
      <c r="B52" s="989"/>
      <c r="C52" s="989"/>
      <c r="D52" s="989"/>
      <c r="E52" s="989"/>
      <c r="F52" s="989"/>
      <c r="G52" s="989"/>
      <c r="H52" s="989"/>
      <c r="I52" s="989"/>
      <c r="J52" s="989"/>
      <c r="N52" s="989"/>
    </row>
    <row r="53" spans="1:20" customFormat="1" ht="15.6" customHeight="1">
      <c r="B53" s="989"/>
      <c r="C53" s="989"/>
      <c r="D53" s="989"/>
      <c r="E53" s="989"/>
      <c r="H53" s="997"/>
      <c r="J53" s="989"/>
      <c r="L53" s="15"/>
      <c r="M53" s="15"/>
      <c r="N53" s="1040" t="s">
        <v>1106</v>
      </c>
      <c r="O53" s="1040"/>
      <c r="P53" s="1040"/>
      <c r="Q53" s="15"/>
    </row>
    <row r="54" spans="1:20" customFormat="1" ht="15.6" customHeight="1">
      <c r="A54" s="989" t="s">
        <v>1105</v>
      </c>
      <c r="B54" s="989"/>
      <c r="C54" s="989"/>
      <c r="D54" s="989"/>
      <c r="E54" s="989"/>
      <c r="H54" s="997"/>
      <c r="J54" s="989"/>
      <c r="L54" s="15"/>
      <c r="M54" s="15"/>
      <c r="N54" s="1040" t="s">
        <v>481</v>
      </c>
      <c r="O54" s="1040"/>
      <c r="P54" s="1040"/>
      <c r="Q54" s="15"/>
    </row>
    <row r="55" spans="1:20" customFormat="1" ht="15.6" customHeight="1">
      <c r="A55" s="246"/>
      <c r="B55" s="246"/>
      <c r="C55" s="246"/>
      <c r="D55" s="246"/>
      <c r="E55" s="246"/>
      <c r="H55" s="997"/>
      <c r="J55" s="246"/>
      <c r="K55" s="246"/>
      <c r="L55" s="15"/>
      <c r="M55" s="15"/>
      <c r="N55" s="1040" t="s">
        <v>1107</v>
      </c>
      <c r="O55" s="1040"/>
      <c r="P55" s="1040"/>
      <c r="Q55" s="15"/>
    </row>
    <row r="56" spans="1:20">
      <c r="S56" s="578"/>
      <c r="T56" s="791"/>
    </row>
    <row r="57" spans="1:20">
      <c r="S57" s="578"/>
      <c r="T57" s="791"/>
    </row>
    <row r="58" spans="1:20">
      <c r="S58" s="578"/>
      <c r="T58" s="791"/>
    </row>
    <row r="59" spans="1:20">
      <c r="S59" s="578"/>
      <c r="T59" s="791"/>
    </row>
    <row r="60" spans="1:20">
      <c r="S60" s="578"/>
      <c r="T60" s="791"/>
    </row>
    <row r="61" spans="1:20">
      <c r="S61" s="578"/>
      <c r="T61" s="791"/>
    </row>
    <row r="62" spans="1:20">
      <c r="S62" s="578"/>
      <c r="T62" s="791"/>
    </row>
    <row r="63" spans="1:20">
      <c r="S63" s="578"/>
      <c r="T63" s="791"/>
    </row>
    <row r="64" spans="1:20">
      <c r="S64" s="578"/>
      <c r="T64" s="791"/>
    </row>
    <row r="65" spans="19:20">
      <c r="S65" s="578"/>
      <c r="T65" s="791"/>
    </row>
    <row r="66" spans="19:20">
      <c r="S66" s="578"/>
      <c r="T66" s="791"/>
    </row>
    <row r="67" spans="19:20">
      <c r="S67" s="578"/>
      <c r="T67" s="791"/>
    </row>
    <row r="68" spans="19:20">
      <c r="S68" s="578"/>
      <c r="T68" s="791"/>
    </row>
    <row r="69" spans="19:20">
      <c r="S69" s="578"/>
      <c r="T69" s="791"/>
    </row>
    <row r="70" spans="19:20">
      <c r="S70" s="578"/>
      <c r="T70" s="791"/>
    </row>
    <row r="71" spans="19:20">
      <c r="S71" s="578"/>
      <c r="T71" s="791"/>
    </row>
    <row r="72" spans="19:20">
      <c r="S72" s="578"/>
      <c r="T72" s="791"/>
    </row>
    <row r="73" spans="19:20">
      <c r="S73" s="578"/>
      <c r="T73" s="791"/>
    </row>
  </sheetData>
  <mergeCells count="14">
    <mergeCell ref="N53:P53"/>
    <mergeCell ref="N54:P54"/>
    <mergeCell ref="N55:P55"/>
    <mergeCell ref="A5:O5"/>
    <mergeCell ref="O1:Q1"/>
    <mergeCell ref="A2:L2"/>
    <mergeCell ref="A3:L3"/>
    <mergeCell ref="A8:A9"/>
    <mergeCell ref="B8:B9"/>
    <mergeCell ref="C8:G8"/>
    <mergeCell ref="H8:L8"/>
    <mergeCell ref="M8:Q8"/>
    <mergeCell ref="A7:B7"/>
    <mergeCell ref="N7:Q7"/>
  </mergeCells>
  <phoneticPr fontId="0" type="noConversion"/>
  <printOptions horizontalCentered="1"/>
  <pageMargins left="0.70866141732283472" right="0.70866141732283472" top="0.63" bottom="0" header="0.79"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Q55"/>
  <sheetViews>
    <sheetView topLeftCell="E25" zoomScaleSheetLayoutView="80" workbookViewId="0">
      <selection activeCell="A3" sqref="A3:XFD45"/>
    </sheetView>
  </sheetViews>
  <sheetFormatPr defaultColWidth="9.28515625" defaultRowHeight="12.75"/>
  <cols>
    <col min="1" max="1" width="7.28515625" style="16" customWidth="1"/>
    <col min="2" max="2" width="17.42578125" style="16" customWidth="1"/>
    <col min="3" max="3" width="10.85546875" style="16" customWidth="1"/>
    <col min="4" max="6" width="9.28515625" style="16" customWidth="1"/>
    <col min="7" max="7" width="10.7109375" style="16" customWidth="1"/>
    <col min="8" max="8" width="10.28515625" style="16" customWidth="1"/>
    <col min="9" max="9" width="10.7109375" style="16" customWidth="1"/>
    <col min="10" max="10" width="10.28515625" style="16" customWidth="1"/>
    <col min="11" max="11" width="11.28515625" style="16" customWidth="1"/>
    <col min="12" max="12" width="11.7109375" style="16" customWidth="1"/>
    <col min="13" max="13" width="12.28515625" style="16" customWidth="1"/>
    <col min="14" max="15" width="8.7109375" style="16" customWidth="1"/>
    <col min="16" max="16" width="9.28515625" style="16" customWidth="1"/>
    <col min="17" max="17" width="11" style="16" customWidth="1"/>
    <col min="18" max="16384" width="9.28515625" style="16"/>
  </cols>
  <sheetData>
    <row r="1" spans="1:17" customFormat="1" ht="12.75" customHeight="1">
      <c r="D1" s="16"/>
      <c r="E1" s="16"/>
      <c r="F1" s="16"/>
      <c r="G1" s="16"/>
      <c r="H1" s="16"/>
      <c r="I1" s="16"/>
      <c r="J1" s="16"/>
      <c r="K1" s="16"/>
      <c r="L1" s="16"/>
      <c r="M1" s="16"/>
      <c r="N1" s="16"/>
      <c r="O1" s="1110" t="s">
        <v>1060</v>
      </c>
      <c r="P1" s="1110"/>
      <c r="Q1" s="1110"/>
    </row>
    <row r="2" spans="1:17" customFormat="1" ht="15.75">
      <c r="A2" s="1111" t="s">
        <v>0</v>
      </c>
      <c r="B2" s="1111"/>
      <c r="C2" s="1111"/>
      <c r="D2" s="1111"/>
      <c r="E2" s="1111"/>
      <c r="F2" s="1111"/>
      <c r="G2" s="1111"/>
      <c r="H2" s="1111"/>
      <c r="I2" s="1111"/>
      <c r="J2" s="1111"/>
      <c r="K2" s="1111"/>
      <c r="L2" s="1111"/>
      <c r="M2" s="41"/>
      <c r="N2" s="41"/>
      <c r="O2" s="41"/>
      <c r="P2" s="41"/>
    </row>
    <row r="3" spans="1:17" customFormat="1" ht="20.25">
      <c r="A3" s="1112" t="s">
        <v>636</v>
      </c>
      <c r="B3" s="1112"/>
      <c r="C3" s="1112"/>
      <c r="D3" s="1112"/>
      <c r="E3" s="1112"/>
      <c r="F3" s="1112"/>
      <c r="G3" s="1112"/>
      <c r="H3" s="1112"/>
      <c r="I3" s="1112"/>
      <c r="J3" s="1112"/>
      <c r="K3" s="1112"/>
      <c r="L3" s="1112"/>
      <c r="M3" s="40"/>
      <c r="N3" s="40"/>
      <c r="O3" s="40"/>
      <c r="P3" s="40"/>
    </row>
    <row r="4" spans="1:17" customFormat="1" ht="11.25" customHeight="1"/>
    <row r="5" spans="1:17" customFormat="1" ht="15.75">
      <c r="A5" s="1191" t="s">
        <v>1092</v>
      </c>
      <c r="B5" s="1191"/>
      <c r="C5" s="1191"/>
      <c r="D5" s="1191"/>
      <c r="E5" s="1191"/>
      <c r="F5" s="1191"/>
      <c r="G5" s="1191"/>
      <c r="H5" s="1191"/>
      <c r="I5" s="1191"/>
      <c r="J5" s="1191"/>
      <c r="K5" s="1191"/>
      <c r="L5" s="1191"/>
      <c r="M5" s="16"/>
      <c r="N5" s="16"/>
      <c r="O5" s="16"/>
      <c r="P5" s="16"/>
    </row>
    <row r="7" spans="1:17" ht="12.6" customHeight="1">
      <c r="A7" s="1092" t="s">
        <v>163</v>
      </c>
      <c r="B7" s="1092"/>
      <c r="N7" s="1194" t="s">
        <v>1108</v>
      </c>
      <c r="O7" s="1194"/>
      <c r="P7" s="1194"/>
      <c r="Q7" s="1194"/>
    </row>
    <row r="8" spans="1:17" s="15" customFormat="1" ht="29.45" customHeight="1">
      <c r="A8" s="1083" t="s">
        <v>2</v>
      </c>
      <c r="B8" s="1083" t="s">
        <v>3</v>
      </c>
      <c r="C8" s="1115" t="s">
        <v>1093</v>
      </c>
      <c r="D8" s="1115"/>
      <c r="E8" s="1115"/>
      <c r="F8" s="1195"/>
      <c r="G8" s="1195"/>
      <c r="H8" s="1192" t="s">
        <v>675</v>
      </c>
      <c r="I8" s="1115"/>
      <c r="J8" s="1115"/>
      <c r="K8" s="1115"/>
      <c r="L8" s="1115"/>
      <c r="M8" s="1090" t="s">
        <v>111</v>
      </c>
      <c r="N8" s="1100"/>
      <c r="O8" s="1100"/>
      <c r="P8" s="1100"/>
      <c r="Q8" s="1091"/>
    </row>
    <row r="9" spans="1:17" s="15" customFormat="1" ht="38.25">
      <c r="A9" s="1083"/>
      <c r="B9" s="1083"/>
      <c r="C9" s="5" t="s">
        <v>216</v>
      </c>
      <c r="D9" s="5" t="s">
        <v>217</v>
      </c>
      <c r="E9" s="5" t="s">
        <v>356</v>
      </c>
      <c r="F9" s="7" t="s">
        <v>224</v>
      </c>
      <c r="G9" s="7" t="s">
        <v>117</v>
      </c>
      <c r="H9" s="5" t="s">
        <v>216</v>
      </c>
      <c r="I9" s="5" t="s">
        <v>217</v>
      </c>
      <c r="J9" s="5" t="s">
        <v>356</v>
      </c>
      <c r="K9" s="5" t="s">
        <v>224</v>
      </c>
      <c r="L9" s="5" t="s">
        <v>118</v>
      </c>
      <c r="M9" s="5" t="s">
        <v>216</v>
      </c>
      <c r="N9" s="5" t="s">
        <v>217</v>
      </c>
      <c r="O9" s="5" t="s">
        <v>356</v>
      </c>
      <c r="P9" s="7" t="s">
        <v>224</v>
      </c>
      <c r="Q9" s="5" t="s">
        <v>119</v>
      </c>
    </row>
    <row r="10" spans="1:17" s="15" customFormat="1">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7">
      <c r="A11" s="19">
        <v>1</v>
      </c>
      <c r="B11" s="792" t="s">
        <v>825</v>
      </c>
      <c r="C11" s="794">
        <v>151851</v>
      </c>
      <c r="D11" s="794">
        <v>883</v>
      </c>
      <c r="E11" s="576">
        <v>696</v>
      </c>
      <c r="F11" s="576">
        <v>0</v>
      </c>
      <c r="G11" s="576">
        <f>C11+D11+E11+F11</f>
        <v>153430</v>
      </c>
      <c r="H11" s="794">
        <v>111924</v>
      </c>
      <c r="I11" s="794">
        <v>675</v>
      </c>
      <c r="J11" s="576">
        <v>696</v>
      </c>
      <c r="K11" s="576">
        <v>0</v>
      </c>
      <c r="L11" s="576">
        <f>H11+I11+J11+K11</f>
        <v>113295</v>
      </c>
      <c r="M11" s="576">
        <f>H11*237</f>
        <v>26525988</v>
      </c>
      <c r="N11" s="576">
        <f t="shared" ref="N11:P26" si="0">I11*237</f>
        <v>159975</v>
      </c>
      <c r="O11" s="576">
        <f t="shared" si="0"/>
        <v>164952</v>
      </c>
      <c r="P11" s="576">
        <f t="shared" si="0"/>
        <v>0</v>
      </c>
      <c r="Q11" s="576">
        <f>M11+N11+O11+P11</f>
        <v>26850915</v>
      </c>
    </row>
    <row r="12" spans="1:17">
      <c r="A12" s="19">
        <v>2</v>
      </c>
      <c r="B12" s="792" t="s">
        <v>826</v>
      </c>
      <c r="C12" s="794">
        <v>56232</v>
      </c>
      <c r="D12" s="794">
        <v>0</v>
      </c>
      <c r="E12" s="576">
        <v>278</v>
      </c>
      <c r="F12" s="576">
        <v>0</v>
      </c>
      <c r="G12" s="576">
        <f t="shared" ref="G12:G43" si="1">C12+D12+E12+F12</f>
        <v>56510</v>
      </c>
      <c r="H12" s="794">
        <v>36231</v>
      </c>
      <c r="I12" s="794">
        <v>0</v>
      </c>
      <c r="J12" s="576">
        <v>278</v>
      </c>
      <c r="K12" s="576">
        <v>0</v>
      </c>
      <c r="L12" s="576">
        <f t="shared" ref="L12:L43" si="2">H12+I12+J12+K12</f>
        <v>36509</v>
      </c>
      <c r="M12" s="576">
        <f t="shared" ref="M12:P43" si="3">H12*237</f>
        <v>8586747</v>
      </c>
      <c r="N12" s="576">
        <f t="shared" si="0"/>
        <v>0</v>
      </c>
      <c r="O12" s="576">
        <f t="shared" si="0"/>
        <v>65886</v>
      </c>
      <c r="P12" s="576">
        <f t="shared" si="0"/>
        <v>0</v>
      </c>
      <c r="Q12" s="576">
        <f t="shared" ref="Q12:Q43" si="4">M12+N12+O12+P12</f>
        <v>8652633</v>
      </c>
    </row>
    <row r="13" spans="1:17">
      <c r="A13" s="19">
        <v>3</v>
      </c>
      <c r="B13" s="792" t="s">
        <v>827</v>
      </c>
      <c r="C13" s="794">
        <v>92264</v>
      </c>
      <c r="D13" s="794">
        <v>2252</v>
      </c>
      <c r="E13" s="576">
        <v>175</v>
      </c>
      <c r="F13" s="576">
        <v>0</v>
      </c>
      <c r="G13" s="576">
        <f t="shared" si="1"/>
        <v>94691</v>
      </c>
      <c r="H13" s="794">
        <v>74934</v>
      </c>
      <c r="I13" s="794">
        <v>183</v>
      </c>
      <c r="J13" s="576">
        <v>175</v>
      </c>
      <c r="K13" s="576">
        <v>0</v>
      </c>
      <c r="L13" s="576">
        <f t="shared" si="2"/>
        <v>75292</v>
      </c>
      <c r="M13" s="576">
        <f t="shared" si="3"/>
        <v>17759358</v>
      </c>
      <c r="N13" s="576">
        <f t="shared" si="0"/>
        <v>43371</v>
      </c>
      <c r="O13" s="576">
        <f t="shared" si="0"/>
        <v>41475</v>
      </c>
      <c r="P13" s="576">
        <f t="shared" si="0"/>
        <v>0</v>
      </c>
      <c r="Q13" s="576">
        <f t="shared" si="4"/>
        <v>17844204</v>
      </c>
    </row>
    <row r="14" spans="1:17">
      <c r="A14" s="19">
        <v>4</v>
      </c>
      <c r="B14" s="792" t="s">
        <v>828</v>
      </c>
      <c r="C14" s="794">
        <v>84010</v>
      </c>
      <c r="D14" s="794">
        <v>4843</v>
      </c>
      <c r="E14" s="576">
        <v>123</v>
      </c>
      <c r="F14" s="576">
        <v>0</v>
      </c>
      <c r="G14" s="576">
        <f t="shared" si="1"/>
        <v>88976</v>
      </c>
      <c r="H14" s="794">
        <v>57418</v>
      </c>
      <c r="I14" s="794">
        <v>2882</v>
      </c>
      <c r="J14" s="576">
        <v>123</v>
      </c>
      <c r="K14" s="576">
        <v>0</v>
      </c>
      <c r="L14" s="576">
        <f t="shared" si="2"/>
        <v>60423</v>
      </c>
      <c r="M14" s="576">
        <f t="shared" si="3"/>
        <v>13608066</v>
      </c>
      <c r="N14" s="576">
        <f t="shared" si="0"/>
        <v>683034</v>
      </c>
      <c r="O14" s="576">
        <f t="shared" si="0"/>
        <v>29151</v>
      </c>
      <c r="P14" s="576">
        <f t="shared" si="0"/>
        <v>0</v>
      </c>
      <c r="Q14" s="576">
        <f t="shared" si="4"/>
        <v>14320251</v>
      </c>
    </row>
    <row r="15" spans="1:17">
      <c r="A15" s="19">
        <v>5</v>
      </c>
      <c r="B15" s="792" t="s">
        <v>829</v>
      </c>
      <c r="C15" s="794">
        <v>159556</v>
      </c>
      <c r="D15" s="794">
        <v>2812</v>
      </c>
      <c r="E15" s="576">
        <v>1926</v>
      </c>
      <c r="F15" s="576">
        <v>0</v>
      </c>
      <c r="G15" s="576">
        <f t="shared" si="1"/>
        <v>164294</v>
      </c>
      <c r="H15" s="794">
        <v>127233</v>
      </c>
      <c r="I15" s="794">
        <v>831</v>
      </c>
      <c r="J15" s="576">
        <v>1926</v>
      </c>
      <c r="K15" s="576">
        <v>0</v>
      </c>
      <c r="L15" s="576">
        <f t="shared" si="2"/>
        <v>129990</v>
      </c>
      <c r="M15" s="576">
        <f t="shared" si="3"/>
        <v>30154221</v>
      </c>
      <c r="N15" s="576">
        <f t="shared" si="0"/>
        <v>196947</v>
      </c>
      <c r="O15" s="576">
        <f t="shared" si="0"/>
        <v>456462</v>
      </c>
      <c r="P15" s="576">
        <f t="shared" si="0"/>
        <v>0</v>
      </c>
      <c r="Q15" s="576">
        <f t="shared" si="4"/>
        <v>30807630</v>
      </c>
    </row>
    <row r="16" spans="1:17">
      <c r="A16" s="19">
        <v>6</v>
      </c>
      <c r="B16" s="792" t="s">
        <v>830</v>
      </c>
      <c r="C16" s="794">
        <v>37606</v>
      </c>
      <c r="D16" s="794">
        <v>1838</v>
      </c>
      <c r="E16" s="576">
        <v>979</v>
      </c>
      <c r="F16" s="576">
        <v>0</v>
      </c>
      <c r="G16" s="576">
        <f t="shared" si="1"/>
        <v>40423</v>
      </c>
      <c r="H16" s="794">
        <v>35357</v>
      </c>
      <c r="I16" s="794">
        <v>1498</v>
      </c>
      <c r="J16" s="576">
        <v>979</v>
      </c>
      <c r="K16" s="576">
        <v>0</v>
      </c>
      <c r="L16" s="576">
        <f t="shared" si="2"/>
        <v>37834</v>
      </c>
      <c r="M16" s="576">
        <f t="shared" si="3"/>
        <v>8379609</v>
      </c>
      <c r="N16" s="576">
        <f t="shared" si="0"/>
        <v>355026</v>
      </c>
      <c r="O16" s="576">
        <f t="shared" si="0"/>
        <v>232023</v>
      </c>
      <c r="P16" s="576">
        <f t="shared" si="0"/>
        <v>0</v>
      </c>
      <c r="Q16" s="576">
        <f t="shared" si="4"/>
        <v>8966658</v>
      </c>
    </row>
    <row r="17" spans="1:17">
      <c r="A17" s="19">
        <v>7</v>
      </c>
      <c r="B17" s="792" t="s">
        <v>831</v>
      </c>
      <c r="C17" s="794">
        <v>30285</v>
      </c>
      <c r="D17" s="794">
        <v>367</v>
      </c>
      <c r="E17" s="576">
        <v>34</v>
      </c>
      <c r="F17" s="576">
        <v>0</v>
      </c>
      <c r="G17" s="576">
        <f t="shared" si="1"/>
        <v>30686</v>
      </c>
      <c r="H17" s="794">
        <v>27927</v>
      </c>
      <c r="I17" s="794">
        <v>367</v>
      </c>
      <c r="J17" s="576">
        <v>34</v>
      </c>
      <c r="K17" s="576">
        <v>0</v>
      </c>
      <c r="L17" s="576">
        <f t="shared" si="2"/>
        <v>28328</v>
      </c>
      <c r="M17" s="576">
        <f t="shared" si="3"/>
        <v>6618699</v>
      </c>
      <c r="N17" s="576">
        <f t="shared" si="0"/>
        <v>86979</v>
      </c>
      <c r="O17" s="576">
        <f t="shared" si="0"/>
        <v>8058</v>
      </c>
      <c r="P17" s="576">
        <f t="shared" si="0"/>
        <v>0</v>
      </c>
      <c r="Q17" s="576">
        <f t="shared" si="4"/>
        <v>6713736</v>
      </c>
    </row>
    <row r="18" spans="1:17">
      <c r="A18" s="19">
        <v>8</v>
      </c>
      <c r="B18" s="792" t="s">
        <v>832</v>
      </c>
      <c r="C18" s="794">
        <v>109996</v>
      </c>
      <c r="D18" s="794">
        <v>0</v>
      </c>
      <c r="E18" s="576">
        <v>891</v>
      </c>
      <c r="F18" s="576">
        <v>0</v>
      </c>
      <c r="G18" s="576">
        <f t="shared" si="1"/>
        <v>110887</v>
      </c>
      <c r="H18" s="794">
        <v>76101</v>
      </c>
      <c r="I18" s="794">
        <v>0</v>
      </c>
      <c r="J18" s="576">
        <v>891</v>
      </c>
      <c r="K18" s="576">
        <v>0</v>
      </c>
      <c r="L18" s="576">
        <f t="shared" si="2"/>
        <v>76992</v>
      </c>
      <c r="M18" s="576">
        <f t="shared" si="3"/>
        <v>18035937</v>
      </c>
      <c r="N18" s="576">
        <f t="shared" si="0"/>
        <v>0</v>
      </c>
      <c r="O18" s="576">
        <f t="shared" si="0"/>
        <v>211167</v>
      </c>
      <c r="P18" s="576">
        <f t="shared" si="0"/>
        <v>0</v>
      </c>
      <c r="Q18" s="576">
        <f t="shared" si="4"/>
        <v>18247104</v>
      </c>
    </row>
    <row r="19" spans="1:17">
      <c r="A19" s="19">
        <v>9</v>
      </c>
      <c r="B19" s="792" t="s">
        <v>833</v>
      </c>
      <c r="C19" s="794">
        <v>101096</v>
      </c>
      <c r="D19" s="794">
        <v>4584</v>
      </c>
      <c r="E19" s="576">
        <v>788</v>
      </c>
      <c r="F19" s="576">
        <v>0</v>
      </c>
      <c r="G19" s="576">
        <f t="shared" si="1"/>
        <v>106468</v>
      </c>
      <c r="H19" s="794">
        <v>75852</v>
      </c>
      <c r="I19" s="794">
        <v>2428</v>
      </c>
      <c r="J19" s="576">
        <v>788</v>
      </c>
      <c r="K19" s="576">
        <v>0</v>
      </c>
      <c r="L19" s="576">
        <f t="shared" si="2"/>
        <v>79068</v>
      </c>
      <c r="M19" s="576">
        <f t="shared" si="3"/>
        <v>17976924</v>
      </c>
      <c r="N19" s="576">
        <f t="shared" si="0"/>
        <v>575436</v>
      </c>
      <c r="O19" s="576">
        <f t="shared" si="0"/>
        <v>186756</v>
      </c>
      <c r="P19" s="576">
        <f t="shared" si="0"/>
        <v>0</v>
      </c>
      <c r="Q19" s="576">
        <f t="shared" si="4"/>
        <v>18739116</v>
      </c>
    </row>
    <row r="20" spans="1:17">
      <c r="A20" s="19">
        <v>10</v>
      </c>
      <c r="B20" s="792" t="s">
        <v>834</v>
      </c>
      <c r="C20" s="794">
        <v>16463</v>
      </c>
      <c r="D20" s="794">
        <v>0</v>
      </c>
      <c r="E20" s="576">
        <v>578</v>
      </c>
      <c r="F20" s="576">
        <v>0</v>
      </c>
      <c r="G20" s="576">
        <f t="shared" si="1"/>
        <v>17041</v>
      </c>
      <c r="H20" s="794">
        <v>13943</v>
      </c>
      <c r="I20" s="794">
        <v>0</v>
      </c>
      <c r="J20" s="576">
        <v>578</v>
      </c>
      <c r="K20" s="576">
        <v>0</v>
      </c>
      <c r="L20" s="576">
        <f t="shared" si="2"/>
        <v>14521</v>
      </c>
      <c r="M20" s="576">
        <f t="shared" si="3"/>
        <v>3304491</v>
      </c>
      <c r="N20" s="576">
        <f t="shared" si="0"/>
        <v>0</v>
      </c>
      <c r="O20" s="576">
        <f t="shared" si="0"/>
        <v>136986</v>
      </c>
      <c r="P20" s="576">
        <f t="shared" si="0"/>
        <v>0</v>
      </c>
      <c r="Q20" s="576">
        <f t="shared" si="4"/>
        <v>3441477</v>
      </c>
    </row>
    <row r="21" spans="1:17">
      <c r="A21" s="19">
        <v>11</v>
      </c>
      <c r="B21" s="792" t="s">
        <v>835</v>
      </c>
      <c r="C21" s="794">
        <v>42575</v>
      </c>
      <c r="D21" s="794">
        <v>0</v>
      </c>
      <c r="E21" s="576">
        <v>372</v>
      </c>
      <c r="F21" s="576">
        <v>0</v>
      </c>
      <c r="G21" s="576">
        <f t="shared" si="1"/>
        <v>42947</v>
      </c>
      <c r="H21" s="794">
        <v>38695</v>
      </c>
      <c r="I21" s="794">
        <v>0</v>
      </c>
      <c r="J21" s="576">
        <v>372</v>
      </c>
      <c r="K21" s="576">
        <v>0</v>
      </c>
      <c r="L21" s="576">
        <f t="shared" si="2"/>
        <v>39067</v>
      </c>
      <c r="M21" s="576">
        <f t="shared" si="3"/>
        <v>9170715</v>
      </c>
      <c r="N21" s="576">
        <f t="shared" si="0"/>
        <v>0</v>
      </c>
      <c r="O21" s="576">
        <f t="shared" si="0"/>
        <v>88164</v>
      </c>
      <c r="P21" s="576">
        <f t="shared" si="0"/>
        <v>0</v>
      </c>
      <c r="Q21" s="576">
        <f t="shared" si="4"/>
        <v>9258879</v>
      </c>
    </row>
    <row r="22" spans="1:17">
      <c r="A22" s="19">
        <v>12</v>
      </c>
      <c r="B22" s="792" t="s">
        <v>836</v>
      </c>
      <c r="C22" s="794">
        <v>77733</v>
      </c>
      <c r="D22" s="794">
        <v>0</v>
      </c>
      <c r="E22" s="576">
        <v>339</v>
      </c>
      <c r="F22" s="576">
        <v>0</v>
      </c>
      <c r="G22" s="576">
        <f t="shared" si="1"/>
        <v>78072</v>
      </c>
      <c r="H22" s="794">
        <v>74655</v>
      </c>
      <c r="I22" s="794">
        <v>0</v>
      </c>
      <c r="J22" s="576">
        <v>339</v>
      </c>
      <c r="K22" s="576">
        <v>0</v>
      </c>
      <c r="L22" s="576">
        <f t="shared" si="2"/>
        <v>74994</v>
      </c>
      <c r="M22" s="576">
        <f t="shared" si="3"/>
        <v>17693235</v>
      </c>
      <c r="N22" s="576">
        <f t="shared" si="0"/>
        <v>0</v>
      </c>
      <c r="O22" s="576">
        <f t="shared" si="0"/>
        <v>80343</v>
      </c>
      <c r="P22" s="576">
        <f t="shared" si="0"/>
        <v>0</v>
      </c>
      <c r="Q22" s="576">
        <f t="shared" si="4"/>
        <v>17773578</v>
      </c>
    </row>
    <row r="23" spans="1:17">
      <c r="A23" s="19">
        <v>13</v>
      </c>
      <c r="B23" s="792" t="s">
        <v>837</v>
      </c>
      <c r="C23" s="794">
        <v>122422</v>
      </c>
      <c r="D23" s="794">
        <v>3152</v>
      </c>
      <c r="E23" s="576">
        <v>1018</v>
      </c>
      <c r="F23" s="576">
        <v>0</v>
      </c>
      <c r="G23" s="576">
        <f t="shared" si="1"/>
        <v>126592</v>
      </c>
      <c r="H23" s="794">
        <v>96674</v>
      </c>
      <c r="I23" s="794">
        <v>2439</v>
      </c>
      <c r="J23" s="576">
        <v>1018</v>
      </c>
      <c r="K23" s="576">
        <v>0</v>
      </c>
      <c r="L23" s="576">
        <f t="shared" si="2"/>
        <v>100131</v>
      </c>
      <c r="M23" s="576">
        <f t="shared" si="3"/>
        <v>22911738</v>
      </c>
      <c r="N23" s="576">
        <f t="shared" si="0"/>
        <v>578043</v>
      </c>
      <c r="O23" s="576">
        <f t="shared" si="0"/>
        <v>241266</v>
      </c>
      <c r="P23" s="576">
        <f t="shared" si="0"/>
        <v>0</v>
      </c>
      <c r="Q23" s="576">
        <f t="shared" si="4"/>
        <v>23731047</v>
      </c>
    </row>
    <row r="24" spans="1:17">
      <c r="A24" s="19">
        <v>14</v>
      </c>
      <c r="B24" s="792" t="s">
        <v>838</v>
      </c>
      <c r="C24" s="794">
        <v>35381</v>
      </c>
      <c r="D24" s="794">
        <v>1321</v>
      </c>
      <c r="E24" s="576">
        <v>569</v>
      </c>
      <c r="F24" s="576">
        <v>0</v>
      </c>
      <c r="G24" s="576">
        <f t="shared" si="1"/>
        <v>37271</v>
      </c>
      <c r="H24" s="794">
        <v>31526</v>
      </c>
      <c r="I24" s="794">
        <v>1009</v>
      </c>
      <c r="J24" s="576">
        <v>569</v>
      </c>
      <c r="K24" s="576">
        <v>0</v>
      </c>
      <c r="L24" s="576">
        <f t="shared" si="2"/>
        <v>33104</v>
      </c>
      <c r="M24" s="576">
        <f t="shared" si="3"/>
        <v>7471662</v>
      </c>
      <c r="N24" s="576">
        <f t="shared" si="0"/>
        <v>239133</v>
      </c>
      <c r="O24" s="576">
        <f t="shared" si="0"/>
        <v>134853</v>
      </c>
      <c r="P24" s="576">
        <f t="shared" si="0"/>
        <v>0</v>
      </c>
      <c r="Q24" s="576">
        <f t="shared" si="4"/>
        <v>7845648</v>
      </c>
    </row>
    <row r="25" spans="1:17">
      <c r="A25" s="19">
        <v>15</v>
      </c>
      <c r="B25" s="792" t="s">
        <v>839</v>
      </c>
      <c r="C25" s="794">
        <v>41797</v>
      </c>
      <c r="D25" s="794">
        <v>0</v>
      </c>
      <c r="E25" s="576">
        <v>969</v>
      </c>
      <c r="F25" s="576">
        <v>0</v>
      </c>
      <c r="G25" s="576">
        <f t="shared" si="1"/>
        <v>42766</v>
      </c>
      <c r="H25" s="794">
        <v>26158</v>
      </c>
      <c r="I25" s="794">
        <v>0</v>
      </c>
      <c r="J25" s="576">
        <v>969</v>
      </c>
      <c r="K25" s="576">
        <v>0</v>
      </c>
      <c r="L25" s="576">
        <f t="shared" si="2"/>
        <v>27127</v>
      </c>
      <c r="M25" s="576">
        <f t="shared" si="3"/>
        <v>6199446</v>
      </c>
      <c r="N25" s="576">
        <f t="shared" si="0"/>
        <v>0</v>
      </c>
      <c r="O25" s="576">
        <f t="shared" si="0"/>
        <v>229653</v>
      </c>
      <c r="P25" s="576">
        <f t="shared" si="0"/>
        <v>0</v>
      </c>
      <c r="Q25" s="576">
        <f t="shared" si="4"/>
        <v>6429099</v>
      </c>
    </row>
    <row r="26" spans="1:17">
      <c r="A26" s="19">
        <v>16</v>
      </c>
      <c r="B26" s="792" t="s">
        <v>840</v>
      </c>
      <c r="C26" s="794">
        <v>20482</v>
      </c>
      <c r="D26" s="794">
        <v>0</v>
      </c>
      <c r="E26" s="576">
        <v>103</v>
      </c>
      <c r="F26" s="576">
        <v>0</v>
      </c>
      <c r="G26" s="576">
        <f t="shared" si="1"/>
        <v>20585</v>
      </c>
      <c r="H26" s="794">
        <v>18644</v>
      </c>
      <c r="I26" s="794">
        <v>0</v>
      </c>
      <c r="J26" s="576">
        <v>103</v>
      </c>
      <c r="K26" s="576">
        <v>0</v>
      </c>
      <c r="L26" s="576">
        <f t="shared" si="2"/>
        <v>18747</v>
      </c>
      <c r="M26" s="576">
        <f t="shared" si="3"/>
        <v>4418628</v>
      </c>
      <c r="N26" s="576">
        <f t="shared" si="0"/>
        <v>0</v>
      </c>
      <c r="O26" s="576">
        <f t="shared" si="0"/>
        <v>24411</v>
      </c>
      <c r="P26" s="576">
        <f t="shared" si="0"/>
        <v>0</v>
      </c>
      <c r="Q26" s="576">
        <f t="shared" si="4"/>
        <v>4443039</v>
      </c>
    </row>
    <row r="27" spans="1:17">
      <c r="A27" s="19">
        <v>17</v>
      </c>
      <c r="B27" s="792" t="s">
        <v>841</v>
      </c>
      <c r="C27" s="794">
        <v>101352</v>
      </c>
      <c r="D27" s="794">
        <v>0</v>
      </c>
      <c r="E27" s="576">
        <v>460</v>
      </c>
      <c r="F27" s="576">
        <v>0</v>
      </c>
      <c r="G27" s="576">
        <f t="shared" si="1"/>
        <v>101812</v>
      </c>
      <c r="H27" s="794">
        <v>75762</v>
      </c>
      <c r="I27" s="794">
        <v>0</v>
      </c>
      <c r="J27" s="576">
        <v>460</v>
      </c>
      <c r="K27" s="576">
        <v>0</v>
      </c>
      <c r="L27" s="576">
        <f t="shared" si="2"/>
        <v>76222</v>
      </c>
      <c r="M27" s="576">
        <f t="shared" si="3"/>
        <v>17955594</v>
      </c>
      <c r="N27" s="576">
        <f t="shared" si="3"/>
        <v>0</v>
      </c>
      <c r="O27" s="576">
        <f t="shared" si="3"/>
        <v>109020</v>
      </c>
      <c r="P27" s="576">
        <f t="shared" si="3"/>
        <v>0</v>
      </c>
      <c r="Q27" s="576">
        <f t="shared" si="4"/>
        <v>18064614</v>
      </c>
    </row>
    <row r="28" spans="1:17">
      <c r="A28" s="19">
        <v>18</v>
      </c>
      <c r="B28" s="792" t="s">
        <v>842</v>
      </c>
      <c r="C28" s="794">
        <v>65304</v>
      </c>
      <c r="D28" s="794">
        <v>2472</v>
      </c>
      <c r="E28" s="576">
        <v>397</v>
      </c>
      <c r="F28" s="576">
        <v>0</v>
      </c>
      <c r="G28" s="576">
        <f t="shared" si="1"/>
        <v>68173</v>
      </c>
      <c r="H28" s="794">
        <v>56521</v>
      </c>
      <c r="I28" s="794">
        <v>1887</v>
      </c>
      <c r="J28" s="576">
        <v>397</v>
      </c>
      <c r="K28" s="576">
        <v>0</v>
      </c>
      <c r="L28" s="576">
        <f t="shared" si="2"/>
        <v>58805</v>
      </c>
      <c r="M28" s="576">
        <f t="shared" si="3"/>
        <v>13395477</v>
      </c>
      <c r="N28" s="576">
        <f t="shared" si="3"/>
        <v>447219</v>
      </c>
      <c r="O28" s="576">
        <f t="shared" si="3"/>
        <v>94089</v>
      </c>
      <c r="P28" s="576">
        <f t="shared" si="3"/>
        <v>0</v>
      </c>
      <c r="Q28" s="576">
        <f t="shared" si="4"/>
        <v>13936785</v>
      </c>
    </row>
    <row r="29" spans="1:17">
      <c r="A29" s="19">
        <v>19</v>
      </c>
      <c r="B29" s="792" t="s">
        <v>843</v>
      </c>
      <c r="C29" s="794">
        <v>62439</v>
      </c>
      <c r="D29" s="794">
        <v>0</v>
      </c>
      <c r="E29" s="576">
        <v>857</v>
      </c>
      <c r="F29" s="576">
        <v>0</v>
      </c>
      <c r="G29" s="576">
        <f t="shared" si="1"/>
        <v>63296</v>
      </c>
      <c r="H29" s="794">
        <v>49543</v>
      </c>
      <c r="I29" s="794">
        <v>0</v>
      </c>
      <c r="J29" s="576">
        <v>857</v>
      </c>
      <c r="K29" s="576">
        <v>0</v>
      </c>
      <c r="L29" s="576">
        <f t="shared" si="2"/>
        <v>50400</v>
      </c>
      <c r="M29" s="576">
        <f t="shared" si="3"/>
        <v>11741691</v>
      </c>
      <c r="N29" s="576">
        <f t="shared" si="3"/>
        <v>0</v>
      </c>
      <c r="O29" s="576">
        <f t="shared" si="3"/>
        <v>203109</v>
      </c>
      <c r="P29" s="576">
        <f t="shared" si="3"/>
        <v>0</v>
      </c>
      <c r="Q29" s="576">
        <f t="shared" si="4"/>
        <v>11944800</v>
      </c>
    </row>
    <row r="30" spans="1:17">
      <c r="A30" s="19">
        <v>20</v>
      </c>
      <c r="B30" s="792" t="s">
        <v>844</v>
      </c>
      <c r="C30" s="794">
        <v>54353</v>
      </c>
      <c r="D30" s="794">
        <v>11206</v>
      </c>
      <c r="E30" s="576">
        <v>910</v>
      </c>
      <c r="F30" s="576">
        <v>0</v>
      </c>
      <c r="G30" s="576">
        <f t="shared" si="1"/>
        <v>66469</v>
      </c>
      <c r="H30" s="794">
        <v>48075</v>
      </c>
      <c r="I30" s="794">
        <v>11163</v>
      </c>
      <c r="J30" s="576">
        <v>910</v>
      </c>
      <c r="K30" s="576">
        <v>0</v>
      </c>
      <c r="L30" s="576">
        <f t="shared" si="2"/>
        <v>60148</v>
      </c>
      <c r="M30" s="576">
        <f t="shared" si="3"/>
        <v>11393775</v>
      </c>
      <c r="N30" s="576">
        <f t="shared" si="3"/>
        <v>2645631</v>
      </c>
      <c r="O30" s="576">
        <f t="shared" si="3"/>
        <v>215670</v>
      </c>
      <c r="P30" s="576">
        <f t="shared" si="3"/>
        <v>0</v>
      </c>
      <c r="Q30" s="576">
        <f t="shared" si="4"/>
        <v>14255076</v>
      </c>
    </row>
    <row r="31" spans="1:17">
      <c r="A31" s="19">
        <v>21</v>
      </c>
      <c r="B31" s="792" t="s">
        <v>845</v>
      </c>
      <c r="C31" s="794">
        <v>108305</v>
      </c>
      <c r="D31" s="794">
        <v>3414</v>
      </c>
      <c r="E31" s="576">
        <v>818</v>
      </c>
      <c r="F31" s="576">
        <v>320</v>
      </c>
      <c r="G31" s="576">
        <f t="shared" si="1"/>
        <v>112857</v>
      </c>
      <c r="H31" s="794">
        <v>72471</v>
      </c>
      <c r="I31" s="794">
        <v>2585</v>
      </c>
      <c r="J31" s="576">
        <v>818</v>
      </c>
      <c r="K31" s="576">
        <v>113</v>
      </c>
      <c r="L31" s="576">
        <f t="shared" si="2"/>
        <v>75987</v>
      </c>
      <c r="M31" s="576">
        <f t="shared" si="3"/>
        <v>17175627</v>
      </c>
      <c r="N31" s="576">
        <f t="shared" si="3"/>
        <v>612645</v>
      </c>
      <c r="O31" s="576">
        <f t="shared" si="3"/>
        <v>193866</v>
      </c>
      <c r="P31" s="576">
        <f t="shared" si="3"/>
        <v>26781</v>
      </c>
      <c r="Q31" s="576">
        <f t="shared" si="4"/>
        <v>18008919</v>
      </c>
    </row>
    <row r="32" spans="1:17">
      <c r="A32" s="19">
        <v>22</v>
      </c>
      <c r="B32" s="792" t="s">
        <v>846</v>
      </c>
      <c r="C32" s="794">
        <v>70514</v>
      </c>
      <c r="D32" s="794">
        <v>327</v>
      </c>
      <c r="E32" s="576">
        <v>419</v>
      </c>
      <c r="F32" s="576">
        <v>0</v>
      </c>
      <c r="G32" s="576">
        <f t="shared" si="1"/>
        <v>71260</v>
      </c>
      <c r="H32" s="794">
        <v>46090</v>
      </c>
      <c r="I32" s="794">
        <v>103</v>
      </c>
      <c r="J32" s="576">
        <v>419</v>
      </c>
      <c r="K32" s="576">
        <v>0</v>
      </c>
      <c r="L32" s="576">
        <f t="shared" si="2"/>
        <v>46612</v>
      </c>
      <c r="M32" s="576">
        <f t="shared" si="3"/>
        <v>10923330</v>
      </c>
      <c r="N32" s="576">
        <f t="shared" si="3"/>
        <v>24411</v>
      </c>
      <c r="O32" s="576">
        <f t="shared" si="3"/>
        <v>99303</v>
      </c>
      <c r="P32" s="576">
        <f t="shared" si="3"/>
        <v>0</v>
      </c>
      <c r="Q32" s="576">
        <f t="shared" si="4"/>
        <v>11047044</v>
      </c>
    </row>
    <row r="33" spans="1:17">
      <c r="A33" s="19">
        <v>23</v>
      </c>
      <c r="B33" s="792" t="s">
        <v>847</v>
      </c>
      <c r="C33" s="794">
        <v>70841</v>
      </c>
      <c r="D33" s="794">
        <v>8951</v>
      </c>
      <c r="E33" s="576">
        <v>417</v>
      </c>
      <c r="F33" s="576">
        <v>0</v>
      </c>
      <c r="G33" s="576">
        <f t="shared" si="1"/>
        <v>80209</v>
      </c>
      <c r="H33" s="794">
        <v>59638</v>
      </c>
      <c r="I33" s="794">
        <v>6781</v>
      </c>
      <c r="J33" s="576">
        <v>417</v>
      </c>
      <c r="K33" s="576">
        <v>0</v>
      </c>
      <c r="L33" s="576">
        <f t="shared" si="2"/>
        <v>66836</v>
      </c>
      <c r="M33" s="576">
        <f t="shared" si="3"/>
        <v>14134206</v>
      </c>
      <c r="N33" s="576">
        <f t="shared" si="3"/>
        <v>1607097</v>
      </c>
      <c r="O33" s="576">
        <f t="shared" si="3"/>
        <v>98829</v>
      </c>
      <c r="P33" s="576">
        <f t="shared" si="3"/>
        <v>0</v>
      </c>
      <c r="Q33" s="576">
        <f t="shared" si="4"/>
        <v>15840132</v>
      </c>
    </row>
    <row r="34" spans="1:17">
      <c r="A34" s="19">
        <v>24</v>
      </c>
      <c r="B34" s="792" t="s">
        <v>848</v>
      </c>
      <c r="C34" s="794">
        <v>56608</v>
      </c>
      <c r="D34" s="794">
        <v>0</v>
      </c>
      <c r="E34" s="576">
        <v>141</v>
      </c>
      <c r="F34" s="576">
        <v>0</v>
      </c>
      <c r="G34" s="576">
        <f t="shared" si="1"/>
        <v>56749</v>
      </c>
      <c r="H34" s="794">
        <v>43915</v>
      </c>
      <c r="I34" s="794">
        <v>0</v>
      </c>
      <c r="J34" s="576">
        <v>141</v>
      </c>
      <c r="K34" s="576">
        <v>0</v>
      </c>
      <c r="L34" s="576">
        <f t="shared" si="2"/>
        <v>44056</v>
      </c>
      <c r="M34" s="576">
        <f t="shared" si="3"/>
        <v>10407855</v>
      </c>
      <c r="N34" s="576">
        <f t="shared" si="3"/>
        <v>0</v>
      </c>
      <c r="O34" s="576">
        <f t="shared" si="3"/>
        <v>33417</v>
      </c>
      <c r="P34" s="576">
        <f t="shared" si="3"/>
        <v>0</v>
      </c>
      <c r="Q34" s="576">
        <f t="shared" si="4"/>
        <v>10441272</v>
      </c>
    </row>
    <row r="35" spans="1:17">
      <c r="A35" s="19">
        <v>25</v>
      </c>
      <c r="B35" s="792" t="s">
        <v>849</v>
      </c>
      <c r="C35" s="794">
        <v>29980</v>
      </c>
      <c r="D35" s="794">
        <v>868</v>
      </c>
      <c r="E35" s="576">
        <v>210</v>
      </c>
      <c r="F35" s="576">
        <v>0</v>
      </c>
      <c r="G35" s="576">
        <f t="shared" si="1"/>
        <v>31058</v>
      </c>
      <c r="H35" s="794">
        <v>25366</v>
      </c>
      <c r="I35" s="794">
        <v>561</v>
      </c>
      <c r="J35" s="576">
        <v>210</v>
      </c>
      <c r="K35" s="576">
        <v>0</v>
      </c>
      <c r="L35" s="576">
        <f t="shared" si="2"/>
        <v>26137</v>
      </c>
      <c r="M35" s="576">
        <f t="shared" si="3"/>
        <v>6011742</v>
      </c>
      <c r="N35" s="576">
        <f t="shared" si="3"/>
        <v>132957</v>
      </c>
      <c r="O35" s="576">
        <f t="shared" si="3"/>
        <v>49770</v>
      </c>
      <c r="P35" s="576">
        <f t="shared" si="3"/>
        <v>0</v>
      </c>
      <c r="Q35" s="576">
        <f t="shared" si="4"/>
        <v>6194469</v>
      </c>
    </row>
    <row r="36" spans="1:17">
      <c r="A36" s="19">
        <v>26</v>
      </c>
      <c r="B36" s="792" t="s">
        <v>850</v>
      </c>
      <c r="C36" s="794">
        <v>28713</v>
      </c>
      <c r="D36" s="794">
        <v>527</v>
      </c>
      <c r="E36" s="576">
        <v>176</v>
      </c>
      <c r="F36" s="576">
        <v>0</v>
      </c>
      <c r="G36" s="576">
        <f t="shared" si="1"/>
        <v>29416</v>
      </c>
      <c r="H36" s="794">
        <v>26675</v>
      </c>
      <c r="I36" s="794">
        <v>443</v>
      </c>
      <c r="J36" s="576">
        <v>176</v>
      </c>
      <c r="K36" s="576">
        <v>0</v>
      </c>
      <c r="L36" s="576">
        <f t="shared" si="2"/>
        <v>27294</v>
      </c>
      <c r="M36" s="576">
        <f t="shared" si="3"/>
        <v>6321975</v>
      </c>
      <c r="N36" s="576">
        <f t="shared" si="3"/>
        <v>104991</v>
      </c>
      <c r="O36" s="576">
        <f t="shared" si="3"/>
        <v>41712</v>
      </c>
      <c r="P36" s="576">
        <f t="shared" si="3"/>
        <v>0</v>
      </c>
      <c r="Q36" s="576">
        <f t="shared" si="4"/>
        <v>6468678</v>
      </c>
    </row>
    <row r="37" spans="1:17" ht="15">
      <c r="A37" s="19">
        <v>27</v>
      </c>
      <c r="B37" s="562" t="s">
        <v>851</v>
      </c>
      <c r="C37" s="794">
        <v>63846</v>
      </c>
      <c r="D37" s="794">
        <v>0</v>
      </c>
      <c r="E37" s="576">
        <v>146</v>
      </c>
      <c r="F37" s="576">
        <v>0</v>
      </c>
      <c r="G37" s="576">
        <f t="shared" si="1"/>
        <v>63992</v>
      </c>
      <c r="H37" s="794">
        <v>60177</v>
      </c>
      <c r="I37" s="794">
        <v>0</v>
      </c>
      <c r="J37" s="576">
        <v>146</v>
      </c>
      <c r="K37" s="576">
        <v>0</v>
      </c>
      <c r="L37" s="576">
        <f t="shared" si="2"/>
        <v>60323</v>
      </c>
      <c r="M37" s="576">
        <f t="shared" si="3"/>
        <v>14261949</v>
      </c>
      <c r="N37" s="576">
        <f t="shared" si="3"/>
        <v>0</v>
      </c>
      <c r="O37" s="576">
        <f t="shared" si="3"/>
        <v>34602</v>
      </c>
      <c r="P37" s="576">
        <f t="shared" si="3"/>
        <v>0</v>
      </c>
      <c r="Q37" s="576">
        <f t="shared" si="4"/>
        <v>14296551</v>
      </c>
    </row>
    <row r="38" spans="1:17">
      <c r="A38" s="19">
        <v>28</v>
      </c>
      <c r="B38" s="793" t="s">
        <v>852</v>
      </c>
      <c r="C38" s="794">
        <v>31270</v>
      </c>
      <c r="D38" s="794">
        <v>0</v>
      </c>
      <c r="E38" s="576">
        <v>156</v>
      </c>
      <c r="F38" s="576">
        <v>0</v>
      </c>
      <c r="G38" s="576">
        <f t="shared" si="1"/>
        <v>31426</v>
      </c>
      <c r="H38" s="794">
        <v>23431</v>
      </c>
      <c r="I38" s="794">
        <v>0</v>
      </c>
      <c r="J38" s="576">
        <v>156</v>
      </c>
      <c r="K38" s="576">
        <v>0</v>
      </c>
      <c r="L38" s="576">
        <f t="shared" si="2"/>
        <v>23587</v>
      </c>
      <c r="M38" s="576">
        <f t="shared" si="3"/>
        <v>5553147</v>
      </c>
      <c r="N38" s="576">
        <f t="shared" si="3"/>
        <v>0</v>
      </c>
      <c r="O38" s="576">
        <f t="shared" si="3"/>
        <v>36972</v>
      </c>
      <c r="P38" s="576">
        <f t="shared" si="3"/>
        <v>0</v>
      </c>
      <c r="Q38" s="576">
        <f t="shared" si="4"/>
        <v>5590119</v>
      </c>
    </row>
    <row r="39" spans="1:17">
      <c r="A39" s="19">
        <v>29</v>
      </c>
      <c r="B39" s="793" t="s">
        <v>1041</v>
      </c>
      <c r="C39" s="794">
        <v>40546</v>
      </c>
      <c r="D39" s="794">
        <v>0</v>
      </c>
      <c r="E39" s="576">
        <v>585</v>
      </c>
      <c r="F39" s="576">
        <v>0</v>
      </c>
      <c r="G39" s="576">
        <f t="shared" si="1"/>
        <v>41131</v>
      </c>
      <c r="H39" s="794">
        <v>38605</v>
      </c>
      <c r="I39" s="794">
        <v>0</v>
      </c>
      <c r="J39" s="576">
        <v>585</v>
      </c>
      <c r="K39" s="576">
        <v>0</v>
      </c>
      <c r="L39" s="576">
        <f t="shared" si="2"/>
        <v>39190</v>
      </c>
      <c r="M39" s="576">
        <f t="shared" si="3"/>
        <v>9149385</v>
      </c>
      <c r="N39" s="576">
        <f t="shared" si="3"/>
        <v>0</v>
      </c>
      <c r="O39" s="576">
        <f t="shared" si="3"/>
        <v>138645</v>
      </c>
      <c r="P39" s="576">
        <f t="shared" si="3"/>
        <v>0</v>
      </c>
      <c r="Q39" s="576">
        <f t="shared" si="4"/>
        <v>9288030</v>
      </c>
    </row>
    <row r="40" spans="1:17" ht="24">
      <c r="A40" s="19">
        <v>30</v>
      </c>
      <c r="B40" s="793" t="s">
        <v>1042</v>
      </c>
      <c r="C40" s="794">
        <v>22378</v>
      </c>
      <c r="D40" s="794">
        <v>0</v>
      </c>
      <c r="E40" s="576">
        <v>309</v>
      </c>
      <c r="F40" s="576">
        <v>0</v>
      </c>
      <c r="G40" s="576">
        <f t="shared" si="1"/>
        <v>22687</v>
      </c>
      <c r="H40" s="794">
        <v>18235</v>
      </c>
      <c r="I40" s="794">
        <v>0</v>
      </c>
      <c r="J40" s="576">
        <v>309</v>
      </c>
      <c r="K40" s="576">
        <v>0</v>
      </c>
      <c r="L40" s="576">
        <f t="shared" si="2"/>
        <v>18544</v>
      </c>
      <c r="M40" s="576">
        <f t="shared" si="3"/>
        <v>4321695</v>
      </c>
      <c r="N40" s="576">
        <f t="shared" si="3"/>
        <v>0</v>
      </c>
      <c r="O40" s="576">
        <f t="shared" si="3"/>
        <v>73233</v>
      </c>
      <c r="P40" s="576">
        <f t="shared" si="3"/>
        <v>0</v>
      </c>
      <c r="Q40" s="576">
        <f t="shared" si="4"/>
        <v>4394928</v>
      </c>
    </row>
    <row r="41" spans="1:17">
      <c r="A41" s="19">
        <v>31</v>
      </c>
      <c r="B41" s="793" t="s">
        <v>1043</v>
      </c>
      <c r="C41" s="794">
        <v>54602</v>
      </c>
      <c r="D41" s="794">
        <v>0</v>
      </c>
      <c r="E41" s="576">
        <v>454</v>
      </c>
      <c r="F41" s="576">
        <v>0</v>
      </c>
      <c r="G41" s="576">
        <f t="shared" si="1"/>
        <v>55056</v>
      </c>
      <c r="H41" s="794">
        <v>35532</v>
      </c>
      <c r="I41" s="794">
        <v>0</v>
      </c>
      <c r="J41" s="576">
        <v>454</v>
      </c>
      <c r="K41" s="576">
        <v>0</v>
      </c>
      <c r="L41" s="576">
        <f t="shared" si="2"/>
        <v>35986</v>
      </c>
      <c r="M41" s="576">
        <f t="shared" si="3"/>
        <v>8421084</v>
      </c>
      <c r="N41" s="576">
        <f t="shared" si="3"/>
        <v>0</v>
      </c>
      <c r="O41" s="576">
        <f t="shared" si="3"/>
        <v>107598</v>
      </c>
      <c r="P41" s="576">
        <f t="shared" si="3"/>
        <v>0</v>
      </c>
      <c r="Q41" s="576">
        <f t="shared" si="4"/>
        <v>8528682</v>
      </c>
    </row>
    <row r="42" spans="1:17">
      <c r="A42" s="19">
        <v>32</v>
      </c>
      <c r="B42" s="793" t="s">
        <v>1044</v>
      </c>
      <c r="C42" s="794">
        <v>45412</v>
      </c>
      <c r="D42" s="794">
        <v>0</v>
      </c>
      <c r="E42" s="576">
        <v>75</v>
      </c>
      <c r="F42" s="576">
        <v>0</v>
      </c>
      <c r="G42" s="576">
        <f t="shared" si="1"/>
        <v>45487</v>
      </c>
      <c r="H42" s="794">
        <v>43539</v>
      </c>
      <c r="I42" s="794">
        <v>0</v>
      </c>
      <c r="J42" s="576">
        <v>75</v>
      </c>
      <c r="K42" s="576">
        <v>0</v>
      </c>
      <c r="L42" s="576">
        <f t="shared" si="2"/>
        <v>43614</v>
      </c>
      <c r="M42" s="576">
        <f t="shared" si="3"/>
        <v>10318743</v>
      </c>
      <c r="N42" s="576">
        <f t="shared" si="3"/>
        <v>0</v>
      </c>
      <c r="O42" s="576">
        <f t="shared" si="3"/>
        <v>17775</v>
      </c>
      <c r="P42" s="576">
        <f t="shared" si="3"/>
        <v>0</v>
      </c>
      <c r="Q42" s="576">
        <f t="shared" si="4"/>
        <v>10336518</v>
      </c>
    </row>
    <row r="43" spans="1:17">
      <c r="A43" s="19">
        <v>33</v>
      </c>
      <c r="B43" s="793" t="s">
        <v>857</v>
      </c>
      <c r="C43" s="794">
        <v>33988</v>
      </c>
      <c r="D43" s="794">
        <v>0</v>
      </c>
      <c r="E43" s="576">
        <v>448</v>
      </c>
      <c r="F43" s="576">
        <v>0</v>
      </c>
      <c r="G43" s="576">
        <f t="shared" si="1"/>
        <v>34436</v>
      </c>
      <c r="H43" s="794">
        <v>24781</v>
      </c>
      <c r="I43" s="794">
        <v>0</v>
      </c>
      <c r="J43" s="576">
        <v>448</v>
      </c>
      <c r="K43" s="576">
        <v>0</v>
      </c>
      <c r="L43" s="576">
        <f t="shared" si="2"/>
        <v>25229</v>
      </c>
      <c r="M43" s="576">
        <f t="shared" si="3"/>
        <v>5873097</v>
      </c>
      <c r="N43" s="576">
        <f t="shared" si="3"/>
        <v>0</v>
      </c>
      <c r="O43" s="576">
        <f t="shared" si="3"/>
        <v>106176</v>
      </c>
      <c r="P43" s="576">
        <f t="shared" si="3"/>
        <v>0</v>
      </c>
      <c r="Q43" s="576">
        <f t="shared" si="4"/>
        <v>5979273</v>
      </c>
    </row>
    <row r="44" spans="1:17">
      <c r="A44" s="19" t="s">
        <v>18</v>
      </c>
      <c r="B44" s="27"/>
      <c r="C44" s="576">
        <f>SUM(C11:C43)</f>
        <v>2120200</v>
      </c>
      <c r="D44" s="576">
        <f t="shared" ref="D44:P44" si="5">SUM(D11:D43)</f>
        <v>49817</v>
      </c>
      <c r="E44" s="576">
        <f t="shared" si="5"/>
        <v>16816</v>
      </c>
      <c r="F44" s="576">
        <f t="shared" si="5"/>
        <v>320</v>
      </c>
      <c r="G44" s="576">
        <f t="shared" si="5"/>
        <v>2187153</v>
      </c>
      <c r="H44" s="576">
        <f t="shared" si="5"/>
        <v>1671628</v>
      </c>
      <c r="I44" s="576">
        <f t="shared" si="5"/>
        <v>35835</v>
      </c>
      <c r="J44" s="576">
        <f t="shared" si="5"/>
        <v>16816</v>
      </c>
      <c r="K44" s="576">
        <f t="shared" si="5"/>
        <v>113</v>
      </c>
      <c r="L44" s="576">
        <f t="shared" si="5"/>
        <v>1724392</v>
      </c>
      <c r="M44" s="576">
        <f t="shared" si="5"/>
        <v>396175836</v>
      </c>
      <c r="N44" s="576">
        <f t="shared" si="5"/>
        <v>8492895</v>
      </c>
      <c r="O44" s="576">
        <f t="shared" si="5"/>
        <v>3985392</v>
      </c>
      <c r="P44" s="576">
        <f t="shared" si="5"/>
        <v>26781</v>
      </c>
      <c r="Q44" s="576">
        <f>SUM(Q11:Q43)</f>
        <v>408680904</v>
      </c>
    </row>
    <row r="45" spans="1:17">
      <c r="A45" s="11" t="s">
        <v>8</v>
      </c>
      <c r="B45"/>
      <c r="C45"/>
      <c r="D45"/>
      <c r="G45" s="576"/>
      <c r="H45" s="576"/>
      <c r="I45" s="576"/>
      <c r="J45" s="576"/>
      <c r="K45" s="576"/>
      <c r="L45" s="576"/>
    </row>
    <row r="46" spans="1:17">
      <c r="A46" t="s">
        <v>9</v>
      </c>
      <c r="B46"/>
      <c r="C46"/>
      <c r="D46"/>
      <c r="G46" s="735"/>
      <c r="H46" s="735"/>
      <c r="I46" s="735"/>
      <c r="J46" s="735"/>
      <c r="K46" s="735"/>
      <c r="L46" s="735"/>
      <c r="Q46" s="735"/>
    </row>
    <row r="47" spans="1:17">
      <c r="A47" t="s">
        <v>10</v>
      </c>
      <c r="B47"/>
      <c r="C47"/>
      <c r="D47"/>
      <c r="I47" s="12"/>
      <c r="J47" s="12"/>
      <c r="K47" s="12"/>
      <c r="L47" s="12"/>
    </row>
    <row r="48" spans="1:17" customFormat="1">
      <c r="A48" s="16" t="s">
        <v>429</v>
      </c>
      <c r="J48" s="12"/>
      <c r="K48" s="12"/>
      <c r="L48" s="12"/>
    </row>
    <row r="49" spans="1:17" customFormat="1">
      <c r="C49" s="16" t="s">
        <v>1094</v>
      </c>
      <c r="E49" s="13"/>
      <c r="F49" s="13"/>
      <c r="G49" s="13"/>
      <c r="H49" s="13"/>
      <c r="I49" s="13"/>
      <c r="J49" s="13"/>
      <c r="K49" s="13"/>
      <c r="L49" s="13"/>
      <c r="M49" s="13"/>
    </row>
    <row r="51" spans="1:17" s="991" customFormat="1">
      <c r="A51" s="15" t="s">
        <v>12</v>
      </c>
      <c r="B51" s="15"/>
      <c r="C51" s="15"/>
      <c r="D51" s="15"/>
      <c r="E51" s="15"/>
      <c r="F51" s="15"/>
      <c r="G51" s="15"/>
      <c r="I51" s="15"/>
      <c r="O51" s="990"/>
      <c r="P51" s="990"/>
      <c r="Q51" s="990"/>
    </row>
    <row r="52" spans="1:17" customFormat="1" ht="15.6" customHeight="1">
      <c r="B52" s="989"/>
      <c r="C52" s="989"/>
      <c r="D52" s="989"/>
      <c r="E52" s="989"/>
      <c r="F52" s="989"/>
      <c r="G52" s="989"/>
      <c r="H52" s="989"/>
      <c r="I52" s="989"/>
      <c r="J52" s="989"/>
      <c r="N52" s="989"/>
    </row>
    <row r="53" spans="1:17" customFormat="1" ht="15.6" customHeight="1">
      <c r="B53" s="989"/>
      <c r="C53" s="989"/>
      <c r="D53" s="989"/>
      <c r="E53" s="989"/>
      <c r="H53" s="997"/>
      <c r="J53" s="989"/>
      <c r="L53" s="15"/>
      <c r="M53" s="15"/>
      <c r="N53" s="1040" t="s">
        <v>1106</v>
      </c>
      <c r="O53" s="1040"/>
      <c r="P53" s="1040"/>
      <c r="Q53" s="15"/>
    </row>
    <row r="54" spans="1:17" customFormat="1" ht="15.6" customHeight="1">
      <c r="A54" s="989" t="s">
        <v>1105</v>
      </c>
      <c r="B54" s="989"/>
      <c r="C54" s="989"/>
      <c r="D54" s="989"/>
      <c r="E54" s="989"/>
      <c r="H54" s="997"/>
      <c r="J54" s="989"/>
      <c r="L54" s="15"/>
      <c r="M54" s="15"/>
      <c r="N54" s="1040" t="s">
        <v>481</v>
      </c>
      <c r="O54" s="1040"/>
      <c r="P54" s="1040"/>
      <c r="Q54" s="15"/>
    </row>
    <row r="55" spans="1:17" customFormat="1" ht="15.6" customHeight="1">
      <c r="A55" s="246"/>
      <c r="B55" s="246"/>
      <c r="C55" s="246"/>
      <c r="D55" s="246"/>
      <c r="E55" s="246"/>
      <c r="H55" s="997"/>
      <c r="J55" s="246"/>
      <c r="K55" s="246"/>
      <c r="L55" s="15"/>
      <c r="M55" s="15"/>
      <c r="N55" s="1040" t="s">
        <v>1107</v>
      </c>
      <c r="O55" s="1040"/>
      <c r="P55" s="1040"/>
      <c r="Q55" s="15"/>
    </row>
  </sheetData>
  <mergeCells count="14">
    <mergeCell ref="N55:P55"/>
    <mergeCell ref="A5:L5"/>
    <mergeCell ref="O1:Q1"/>
    <mergeCell ref="A2:L2"/>
    <mergeCell ref="A3:L3"/>
    <mergeCell ref="M8:Q8"/>
    <mergeCell ref="A8:A9"/>
    <mergeCell ref="B8:B9"/>
    <mergeCell ref="A7:B7"/>
    <mergeCell ref="N7:Q7"/>
    <mergeCell ref="C8:G8"/>
    <mergeCell ref="H8:L8"/>
    <mergeCell ref="N53:P53"/>
    <mergeCell ref="N54:P54"/>
  </mergeCells>
  <phoneticPr fontId="0" type="noConversion"/>
  <printOptions horizontalCentered="1"/>
  <pageMargins left="0.70866141732283472" right="0.70866141732283472" top="0.63" bottom="0" header="0.79" footer="0.31496062992125984"/>
  <pageSetup paperSize="9" scale="74"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49"/>
  <sheetViews>
    <sheetView view="pageBreakPreview" topLeftCell="A34" zoomScaleSheetLayoutView="100" workbookViewId="0">
      <selection activeCell="E13" sqref="E13"/>
    </sheetView>
  </sheetViews>
  <sheetFormatPr defaultRowHeight="12.75"/>
  <cols>
    <col min="1" max="1" width="6" customWidth="1"/>
    <col min="2" max="2" width="15.42578125" customWidth="1"/>
    <col min="3" max="3" width="17.28515625" customWidth="1"/>
    <col min="4" max="4" width="19" customWidth="1"/>
    <col min="5" max="5" width="19.7109375" customWidth="1"/>
    <col min="6" max="6" width="18.7109375" customWidth="1"/>
    <col min="7" max="7" width="15.28515625" customWidth="1"/>
  </cols>
  <sheetData>
    <row r="1" spans="1:7" ht="18">
      <c r="A1" s="1176" t="s">
        <v>0</v>
      </c>
      <c r="B1" s="1176"/>
      <c r="C1" s="1176"/>
      <c r="D1" s="1176"/>
      <c r="E1" s="1176"/>
      <c r="G1" s="174" t="s">
        <v>676</v>
      </c>
    </row>
    <row r="2" spans="1:7" ht="18.75">
      <c r="A2" s="1198" t="s">
        <v>636</v>
      </c>
      <c r="B2" s="1198"/>
      <c r="C2" s="1198"/>
      <c r="D2" s="1198"/>
      <c r="E2" s="1198"/>
      <c r="F2" s="1198"/>
    </row>
    <row r="3" spans="1:7" ht="18">
      <c r="A3" s="1178" t="s">
        <v>677</v>
      </c>
      <c r="B3" s="1178"/>
      <c r="C3" s="1178"/>
      <c r="D3" s="1178"/>
      <c r="E3" s="1178"/>
      <c r="F3" s="1178"/>
    </row>
    <row r="4" spans="1:7" ht="18" customHeight="1">
      <c r="A4" s="1199" t="s">
        <v>824</v>
      </c>
      <c r="B4" s="1199"/>
      <c r="C4" s="1199"/>
      <c r="F4" s="908">
        <f>C8-D8-E8</f>
        <v>1406.2960000000219</v>
      </c>
    </row>
    <row r="5" spans="1:7" ht="15">
      <c r="A5" s="177"/>
      <c r="B5" s="177"/>
      <c r="F5" s="1194" t="s">
        <v>793</v>
      </c>
      <c r="G5" s="1194"/>
    </row>
    <row r="6" spans="1:7" ht="45">
      <c r="A6" s="255" t="s">
        <v>2</v>
      </c>
      <c r="B6" s="255" t="s">
        <v>3</v>
      </c>
      <c r="C6" s="256" t="s">
        <v>678</v>
      </c>
      <c r="D6" s="257" t="s">
        <v>679</v>
      </c>
      <c r="E6" s="257" t="s">
        <v>680</v>
      </c>
      <c r="F6" s="257" t="s">
        <v>681</v>
      </c>
      <c r="G6" s="234" t="s">
        <v>682</v>
      </c>
    </row>
    <row r="7" spans="1:7" s="795" customFormat="1" ht="42" customHeight="1">
      <c r="A7" s="438" t="s">
        <v>268</v>
      </c>
      <c r="B7" s="438" t="s">
        <v>269</v>
      </c>
      <c r="C7" s="438" t="s">
        <v>270</v>
      </c>
      <c r="D7" s="438" t="s">
        <v>271</v>
      </c>
      <c r="E7" s="438" t="s">
        <v>272</v>
      </c>
      <c r="F7" s="438" t="s">
        <v>273</v>
      </c>
      <c r="G7" s="438" t="s">
        <v>274</v>
      </c>
    </row>
    <row r="8" spans="1:7" ht="15.75">
      <c r="A8" s="9">
        <v>1</v>
      </c>
      <c r="B8" s="258" t="s">
        <v>825</v>
      </c>
      <c r="C8" s="259">
        <v>380080</v>
      </c>
      <c r="D8" s="264">
        <v>377533.46399999998</v>
      </c>
      <c r="E8" s="264">
        <v>1140.24</v>
      </c>
      <c r="F8" s="264">
        <f>C8-D8-E8</f>
        <v>1406.2960000000219</v>
      </c>
      <c r="G8" s="260">
        <v>0</v>
      </c>
    </row>
    <row r="9" spans="1:7" ht="15.75">
      <c r="A9" s="9">
        <v>2</v>
      </c>
      <c r="B9" s="258" t="s">
        <v>826</v>
      </c>
      <c r="C9" s="259">
        <v>143536</v>
      </c>
      <c r="D9" s="264">
        <v>142574.3088</v>
      </c>
      <c r="E9" s="264">
        <v>430.608</v>
      </c>
      <c r="F9" s="264">
        <f>C9-D9-E9</f>
        <v>531.08320000000117</v>
      </c>
      <c r="G9" s="260">
        <v>0</v>
      </c>
    </row>
    <row r="10" spans="1:7" ht="15.75">
      <c r="A10" s="9">
        <v>3</v>
      </c>
      <c r="B10" s="258" t="s">
        <v>827</v>
      </c>
      <c r="C10" s="259">
        <v>226722</v>
      </c>
      <c r="D10" s="264">
        <v>225202.9626</v>
      </c>
      <c r="E10" s="264">
        <v>680.16600000000005</v>
      </c>
      <c r="F10" s="264">
        <f t="shared" ref="F10:F40" si="0">C10-D10-E10</f>
        <v>838.87140000000102</v>
      </c>
      <c r="G10" s="260">
        <v>0</v>
      </c>
    </row>
    <row r="11" spans="1:7" ht="15.75">
      <c r="A11" s="9">
        <v>4</v>
      </c>
      <c r="B11" s="258" t="s">
        <v>828</v>
      </c>
      <c r="C11" s="259">
        <v>212288</v>
      </c>
      <c r="D11" s="264">
        <v>210865.6704</v>
      </c>
      <c r="E11" s="264">
        <v>636.86400000000003</v>
      </c>
      <c r="F11" s="264">
        <f t="shared" si="0"/>
        <v>785.46559999999727</v>
      </c>
      <c r="G11" s="260">
        <v>0</v>
      </c>
    </row>
    <row r="12" spans="1:7" ht="15.75">
      <c r="A12" s="9">
        <v>5</v>
      </c>
      <c r="B12" s="258" t="s">
        <v>829</v>
      </c>
      <c r="C12" s="259">
        <v>530757</v>
      </c>
      <c r="D12" s="264">
        <v>527200.92810000002</v>
      </c>
      <c r="E12" s="264">
        <v>1592.271</v>
      </c>
      <c r="F12" s="264">
        <f t="shared" si="0"/>
        <v>1963.8008999999809</v>
      </c>
      <c r="G12" s="260">
        <v>0</v>
      </c>
    </row>
    <row r="13" spans="1:7" ht="15.75">
      <c r="A13" s="9">
        <v>6</v>
      </c>
      <c r="B13" s="258" t="s">
        <v>830</v>
      </c>
      <c r="C13" s="259">
        <v>103849</v>
      </c>
      <c r="D13" s="264">
        <v>103153.2117</v>
      </c>
      <c r="E13" s="264">
        <v>311.54700000000003</v>
      </c>
      <c r="F13" s="264">
        <f t="shared" si="0"/>
        <v>384.24130000000014</v>
      </c>
      <c r="G13" s="260">
        <v>0</v>
      </c>
    </row>
    <row r="14" spans="1:7" ht="15.75">
      <c r="A14" s="9">
        <v>7</v>
      </c>
      <c r="B14" s="258" t="s">
        <v>831</v>
      </c>
      <c r="C14" s="259">
        <v>89566</v>
      </c>
      <c r="D14" s="264">
        <v>88965.907800000001</v>
      </c>
      <c r="E14" s="264">
        <v>268.69799999999998</v>
      </c>
      <c r="F14" s="264">
        <f t="shared" si="0"/>
        <v>331.39419999999916</v>
      </c>
      <c r="G14" s="260">
        <v>0</v>
      </c>
    </row>
    <row r="15" spans="1:7" ht="15.75">
      <c r="A15" s="9">
        <v>8</v>
      </c>
      <c r="B15" s="258" t="s">
        <v>832</v>
      </c>
      <c r="C15" s="259">
        <v>271179</v>
      </c>
      <c r="D15" s="264">
        <v>269362.10070000001</v>
      </c>
      <c r="E15" s="264">
        <v>813.53700000000003</v>
      </c>
      <c r="F15" s="264">
        <f t="shared" si="0"/>
        <v>1003.36229999999</v>
      </c>
      <c r="G15" s="260">
        <v>0</v>
      </c>
    </row>
    <row r="16" spans="1:7" ht="15.75">
      <c r="A16" s="9">
        <v>9</v>
      </c>
      <c r="B16" s="258" t="s">
        <v>833</v>
      </c>
      <c r="C16" s="259">
        <v>307499</v>
      </c>
      <c r="D16" s="264">
        <v>305438.75669999997</v>
      </c>
      <c r="E16" s="264">
        <v>922.49700000000007</v>
      </c>
      <c r="F16" s="264">
        <f t="shared" si="0"/>
        <v>1137.7463000000309</v>
      </c>
      <c r="G16" s="260">
        <v>0</v>
      </c>
    </row>
    <row r="17" spans="1:12" ht="15.75">
      <c r="A17" s="9">
        <v>10</v>
      </c>
      <c r="B17" s="258" t="s">
        <v>834</v>
      </c>
      <c r="C17" s="259">
        <v>47639</v>
      </c>
      <c r="D17" s="264">
        <v>47319.818699999996</v>
      </c>
      <c r="E17" s="264">
        <v>142.917</v>
      </c>
      <c r="F17" s="264">
        <f t="shared" si="0"/>
        <v>176.26430000000383</v>
      </c>
      <c r="G17" s="260">
        <v>0</v>
      </c>
    </row>
    <row r="18" spans="1:12" ht="15.75">
      <c r="A18" s="9">
        <v>11</v>
      </c>
      <c r="B18" s="258" t="s">
        <v>835</v>
      </c>
      <c r="C18" s="259">
        <v>120517</v>
      </c>
      <c r="D18" s="264">
        <v>119709.5361</v>
      </c>
      <c r="E18" s="264">
        <v>361.55099999999999</v>
      </c>
      <c r="F18" s="264">
        <f t="shared" si="0"/>
        <v>445.91290000000248</v>
      </c>
      <c r="G18" s="260">
        <v>0</v>
      </c>
    </row>
    <row r="19" spans="1:12" ht="15" customHeight="1">
      <c r="A19" s="9">
        <v>12</v>
      </c>
      <c r="B19" s="258" t="s">
        <v>836</v>
      </c>
      <c r="C19" s="259">
        <v>213886</v>
      </c>
      <c r="D19" s="264">
        <v>212452.9638</v>
      </c>
      <c r="E19" s="264">
        <v>641.65800000000002</v>
      </c>
      <c r="F19" s="264">
        <f t="shared" si="0"/>
        <v>791.37820000000227</v>
      </c>
      <c r="G19" s="260">
        <v>0</v>
      </c>
      <c r="H19" s="247"/>
    </row>
    <row r="20" spans="1:12" ht="15" customHeight="1">
      <c r="A20" s="9">
        <v>13</v>
      </c>
      <c r="B20" s="258" t="s">
        <v>837</v>
      </c>
      <c r="C20" s="259">
        <v>373404</v>
      </c>
      <c r="D20" s="264">
        <v>370902.19319999998</v>
      </c>
      <c r="E20" s="264">
        <v>1120.212</v>
      </c>
      <c r="F20" s="264">
        <f t="shared" si="0"/>
        <v>1381.5948000000203</v>
      </c>
      <c r="G20" s="260">
        <v>0</v>
      </c>
      <c r="H20" s="247"/>
    </row>
    <row r="21" spans="1:12" ht="15" customHeight="1">
      <c r="A21" s="9">
        <v>14</v>
      </c>
      <c r="B21" s="258" t="s">
        <v>838</v>
      </c>
      <c r="C21" s="259">
        <v>93553</v>
      </c>
      <c r="D21" s="264">
        <v>92926.194900000002</v>
      </c>
      <c r="E21" s="264">
        <v>280.65899999999999</v>
      </c>
      <c r="F21" s="264">
        <f t="shared" si="0"/>
        <v>346.14609999999777</v>
      </c>
      <c r="G21" s="260">
        <v>0</v>
      </c>
      <c r="H21" s="247"/>
    </row>
    <row r="22" spans="1:12" ht="15.75">
      <c r="A22" s="9">
        <v>15</v>
      </c>
      <c r="B22" s="258" t="s">
        <v>839</v>
      </c>
      <c r="C22" s="259">
        <v>103303</v>
      </c>
      <c r="D22" s="264">
        <v>102610.86989999999</v>
      </c>
      <c r="E22" s="264">
        <v>309.90899999999999</v>
      </c>
      <c r="F22" s="264">
        <f t="shared" si="0"/>
        <v>382.22110000000941</v>
      </c>
      <c r="G22" s="260">
        <v>0</v>
      </c>
      <c r="H22" s="246"/>
    </row>
    <row r="23" spans="1:12" ht="15.75">
      <c r="A23" s="9">
        <v>16</v>
      </c>
      <c r="B23" s="258" t="s">
        <v>840</v>
      </c>
      <c r="C23" s="259">
        <v>52407</v>
      </c>
      <c r="D23" s="264">
        <v>52055.873099999997</v>
      </c>
      <c r="E23" s="264">
        <v>157.221</v>
      </c>
      <c r="F23" s="264">
        <f t="shared" si="0"/>
        <v>193.90590000000293</v>
      </c>
      <c r="G23" s="260">
        <v>0</v>
      </c>
      <c r="H23" s="246"/>
      <c r="I23" s="246"/>
      <c r="J23" s="246"/>
      <c r="K23" s="246"/>
      <c r="L23" s="246"/>
    </row>
    <row r="24" spans="1:12" ht="15.75">
      <c r="A24" s="9">
        <v>17</v>
      </c>
      <c r="B24" s="258" t="s">
        <v>841</v>
      </c>
      <c r="C24" s="259">
        <v>282018</v>
      </c>
      <c r="D24" s="264">
        <v>280128.47940000001</v>
      </c>
      <c r="E24" s="264">
        <v>846.05399999999997</v>
      </c>
      <c r="F24" s="264">
        <f t="shared" si="0"/>
        <v>1043.4665999999888</v>
      </c>
      <c r="G24" s="260">
        <v>0</v>
      </c>
    </row>
    <row r="25" spans="1:12" ht="15.75">
      <c r="A25" s="9">
        <v>18</v>
      </c>
      <c r="B25" s="258" t="s">
        <v>842</v>
      </c>
      <c r="C25" s="259">
        <v>172059</v>
      </c>
      <c r="D25" s="264">
        <v>170906.2047</v>
      </c>
      <c r="E25" s="264">
        <v>516.17700000000002</v>
      </c>
      <c r="F25" s="264">
        <f t="shared" si="0"/>
        <v>636.61829999999793</v>
      </c>
      <c r="G25" s="260">
        <v>0</v>
      </c>
    </row>
    <row r="26" spans="1:12" ht="15.75">
      <c r="A26" s="9">
        <v>19</v>
      </c>
      <c r="B26" s="258" t="s">
        <v>843</v>
      </c>
      <c r="C26" s="259">
        <v>171980</v>
      </c>
      <c r="D26" s="264">
        <v>170827.734</v>
      </c>
      <c r="E26" s="264">
        <v>515.94000000000005</v>
      </c>
      <c r="F26" s="264">
        <f t="shared" si="0"/>
        <v>636.32600000000321</v>
      </c>
      <c r="G26" s="260">
        <v>0</v>
      </c>
    </row>
    <row r="27" spans="1:12" ht="15.75">
      <c r="A27" s="9">
        <v>20</v>
      </c>
      <c r="B27" s="258" t="s">
        <v>844</v>
      </c>
      <c r="C27" s="259">
        <v>164106</v>
      </c>
      <c r="D27" s="264">
        <v>163006.48979999998</v>
      </c>
      <c r="E27" s="264">
        <v>492.31799999999998</v>
      </c>
      <c r="F27" s="264">
        <f t="shared" si="0"/>
        <v>607.19220000001883</v>
      </c>
      <c r="G27" s="260">
        <v>0</v>
      </c>
    </row>
    <row r="28" spans="1:12" ht="15.75">
      <c r="A28" s="9">
        <v>21</v>
      </c>
      <c r="B28" s="258" t="s">
        <v>845</v>
      </c>
      <c r="C28" s="259">
        <v>281979</v>
      </c>
      <c r="D28" s="264">
        <v>280089.74069999997</v>
      </c>
      <c r="E28" s="264">
        <v>845.93700000000001</v>
      </c>
      <c r="F28" s="264">
        <f t="shared" si="0"/>
        <v>1043.3223000000344</v>
      </c>
      <c r="G28" s="260">
        <v>0</v>
      </c>
    </row>
    <row r="29" spans="1:12" ht="15.75">
      <c r="A29" s="9">
        <v>22</v>
      </c>
      <c r="B29" s="258" t="s">
        <v>846</v>
      </c>
      <c r="C29" s="259">
        <v>176996</v>
      </c>
      <c r="D29" s="264">
        <v>175810.1268</v>
      </c>
      <c r="E29" s="264">
        <v>530.98800000000006</v>
      </c>
      <c r="F29" s="264">
        <f t="shared" si="0"/>
        <v>654.88520000000176</v>
      </c>
      <c r="G29" s="260">
        <v>0</v>
      </c>
    </row>
    <row r="30" spans="1:12" ht="15.75">
      <c r="A30" s="9">
        <v>23</v>
      </c>
      <c r="B30" s="258" t="s">
        <v>847</v>
      </c>
      <c r="C30" s="259">
        <v>191339</v>
      </c>
      <c r="D30" s="264">
        <v>190057.0287</v>
      </c>
      <c r="E30" s="264">
        <v>574.01700000000005</v>
      </c>
      <c r="F30" s="264">
        <f t="shared" si="0"/>
        <v>707.95430000000465</v>
      </c>
      <c r="G30" s="260">
        <v>0</v>
      </c>
    </row>
    <row r="31" spans="1:12" ht="15.75">
      <c r="A31" s="9">
        <v>24</v>
      </c>
      <c r="B31" s="258" t="s">
        <v>848</v>
      </c>
      <c r="C31" s="259">
        <v>149033</v>
      </c>
      <c r="D31" s="264">
        <v>148034.47889999999</v>
      </c>
      <c r="E31" s="264">
        <v>447.09899999999999</v>
      </c>
      <c r="F31" s="264">
        <f t="shared" si="0"/>
        <v>551.42210000001273</v>
      </c>
      <c r="G31" s="260">
        <v>0</v>
      </c>
    </row>
    <row r="32" spans="1:12" ht="15.75">
      <c r="A32" s="9">
        <v>25</v>
      </c>
      <c r="B32" s="258" t="s">
        <v>849</v>
      </c>
      <c r="C32" s="259">
        <v>70632</v>
      </c>
      <c r="D32" s="264">
        <v>70158.765599999999</v>
      </c>
      <c r="E32" s="264">
        <v>211.89600000000002</v>
      </c>
      <c r="F32" s="264">
        <f t="shared" si="0"/>
        <v>261.33840000000117</v>
      </c>
      <c r="G32" s="260">
        <v>0</v>
      </c>
    </row>
    <row r="33" spans="1:17" ht="15.75">
      <c r="A33" s="9">
        <v>26</v>
      </c>
      <c r="B33" s="258" t="s">
        <v>850</v>
      </c>
      <c r="C33" s="259">
        <v>79783</v>
      </c>
      <c r="D33" s="264">
        <v>79248.453899999993</v>
      </c>
      <c r="E33" s="264">
        <v>239.34900000000002</v>
      </c>
      <c r="F33" s="264">
        <f t="shared" si="0"/>
        <v>295.1971000000068</v>
      </c>
      <c r="G33" s="260">
        <v>0</v>
      </c>
    </row>
    <row r="34" spans="1:17" ht="15.75">
      <c r="A34" s="9">
        <v>27</v>
      </c>
      <c r="B34" s="258" t="s">
        <v>851</v>
      </c>
      <c r="C34" s="259">
        <v>146569</v>
      </c>
      <c r="D34" s="264">
        <v>145586.9877</v>
      </c>
      <c r="E34" s="264">
        <v>439.70699999999999</v>
      </c>
      <c r="F34" s="264">
        <f t="shared" si="0"/>
        <v>542.30530000000215</v>
      </c>
      <c r="G34" s="260">
        <v>0</v>
      </c>
    </row>
    <row r="35" spans="1:17" ht="15.75">
      <c r="A35" s="9">
        <v>28</v>
      </c>
      <c r="B35" s="258" t="s">
        <v>852</v>
      </c>
      <c r="C35" s="259">
        <v>78421</v>
      </c>
      <c r="D35" s="264">
        <v>77895.579299999998</v>
      </c>
      <c r="E35" s="264">
        <v>235.26300000000001</v>
      </c>
      <c r="F35" s="264">
        <f t="shared" si="0"/>
        <v>290.15770000000236</v>
      </c>
      <c r="G35" s="260">
        <v>0</v>
      </c>
    </row>
    <row r="36" spans="1:17" ht="15.75">
      <c r="A36" s="9">
        <v>29</v>
      </c>
      <c r="B36" s="258" t="s">
        <v>853</v>
      </c>
      <c r="C36" s="259">
        <v>123780</v>
      </c>
      <c r="D36" s="264">
        <v>122950.674</v>
      </c>
      <c r="E36" s="264">
        <v>371.34000000000003</v>
      </c>
      <c r="F36" s="264">
        <f t="shared" si="0"/>
        <v>457.9860000000009</v>
      </c>
      <c r="G36" s="260">
        <v>0</v>
      </c>
    </row>
    <row r="37" spans="1:17" ht="15.75">
      <c r="A37" s="9">
        <v>30</v>
      </c>
      <c r="B37" s="258" t="s">
        <v>854</v>
      </c>
      <c r="C37" s="259">
        <v>55617</v>
      </c>
      <c r="D37" s="264">
        <v>55244.366099999999</v>
      </c>
      <c r="E37" s="264">
        <v>166.851</v>
      </c>
      <c r="F37" s="264">
        <f t="shared" si="0"/>
        <v>205.78290000000072</v>
      </c>
      <c r="G37" s="260">
        <v>0</v>
      </c>
    </row>
    <row r="38" spans="1:17" ht="15.75">
      <c r="A38" s="9">
        <v>31</v>
      </c>
      <c r="B38" s="258" t="s">
        <v>855</v>
      </c>
      <c r="C38" s="259">
        <v>128131</v>
      </c>
      <c r="D38" s="264">
        <v>127272.5223</v>
      </c>
      <c r="E38" s="264">
        <v>384.39300000000003</v>
      </c>
      <c r="F38" s="264">
        <f t="shared" si="0"/>
        <v>474.08470000000307</v>
      </c>
      <c r="G38" s="260">
        <v>0</v>
      </c>
    </row>
    <row r="39" spans="1:17" ht="15.75">
      <c r="A39" s="9">
        <v>32</v>
      </c>
      <c r="B39" s="258" t="s">
        <v>856</v>
      </c>
      <c r="C39" s="259">
        <v>124431</v>
      </c>
      <c r="D39" s="264">
        <v>123597.31229999999</v>
      </c>
      <c r="E39" s="264">
        <v>373.29300000000001</v>
      </c>
      <c r="F39" s="264">
        <f t="shared" si="0"/>
        <v>460.39470000000949</v>
      </c>
      <c r="G39" s="260">
        <v>0</v>
      </c>
    </row>
    <row r="40" spans="1:17" ht="15.75">
      <c r="A40" s="9">
        <v>33</v>
      </c>
      <c r="B40" s="258" t="s">
        <v>857</v>
      </c>
      <c r="C40" s="259">
        <v>94751</v>
      </c>
      <c r="D40" s="264">
        <v>94116.16829999999</v>
      </c>
      <c r="E40" s="264">
        <v>284.25299999999999</v>
      </c>
      <c r="F40" s="264">
        <f t="shared" si="0"/>
        <v>350.57870000000975</v>
      </c>
      <c r="G40" s="260">
        <v>0</v>
      </c>
    </row>
    <row r="41" spans="1:17" s="14" customFormat="1" ht="18.75">
      <c r="A41" s="1197" t="s">
        <v>18</v>
      </c>
      <c r="B41" s="1197"/>
      <c r="C41" s="574">
        <f>SUM(C8:C40)</f>
        <v>5761810</v>
      </c>
      <c r="D41" s="623">
        <f t="shared" ref="D41:G41" si="1">SUM(D8:D40)</f>
        <v>5723205.8730000015</v>
      </c>
      <c r="E41" s="623">
        <f t="shared" si="1"/>
        <v>17285.430000000004</v>
      </c>
      <c r="F41" s="623">
        <f t="shared" si="1"/>
        <v>21318.697000000167</v>
      </c>
      <c r="G41" s="971">
        <f t="shared" si="1"/>
        <v>0</v>
      </c>
    </row>
    <row r="42" spans="1:17">
      <c r="A42" s="262"/>
      <c r="B42" s="262"/>
      <c r="C42" s="262"/>
      <c r="D42" s="263"/>
      <c r="E42" s="13"/>
      <c r="F42" s="13"/>
      <c r="G42" s="13"/>
    </row>
    <row r="43" spans="1:17" s="991" customFormat="1">
      <c r="A43" s="15" t="s">
        <v>12</v>
      </c>
      <c r="B43" s="15"/>
      <c r="C43" s="15"/>
      <c r="D43" s="15"/>
      <c r="E43" s="15"/>
      <c r="F43" s="15"/>
      <c r="G43" s="15"/>
      <c r="I43" s="15"/>
      <c r="O43" s="990"/>
      <c r="P43" s="990"/>
      <c r="Q43" s="990"/>
    </row>
    <row r="44" spans="1:17" ht="15.6" customHeight="1">
      <c r="B44" s="989"/>
      <c r="C44" s="989"/>
      <c r="D44" s="989"/>
      <c r="E44" s="1040" t="s">
        <v>1106</v>
      </c>
      <c r="F44" s="1040"/>
      <c r="G44" s="1040"/>
      <c r="H44" s="989"/>
      <c r="I44" s="989"/>
      <c r="J44" s="989"/>
      <c r="N44" s="989"/>
    </row>
    <row r="45" spans="1:17" ht="15.6" customHeight="1">
      <c r="B45" s="989"/>
      <c r="C45" s="989"/>
      <c r="D45" s="989"/>
      <c r="E45" s="1040" t="s">
        <v>481</v>
      </c>
      <c r="F45" s="1040"/>
      <c r="G45" s="1040"/>
      <c r="H45" s="997"/>
      <c r="J45" s="989"/>
      <c r="L45" s="15"/>
      <c r="M45" s="15"/>
      <c r="Q45" s="15"/>
    </row>
    <row r="46" spans="1:17" ht="15.6" customHeight="1">
      <c r="A46" s="989" t="s">
        <v>1105</v>
      </c>
      <c r="B46" s="989"/>
      <c r="C46" s="989"/>
      <c r="D46" s="989"/>
      <c r="E46" s="1040" t="s">
        <v>1107</v>
      </c>
      <c r="F46" s="1040"/>
      <c r="G46" s="1040"/>
      <c r="H46" s="997"/>
      <c r="J46" s="989"/>
      <c r="L46" s="15"/>
      <c r="M46" s="15"/>
      <c r="Q46" s="15"/>
    </row>
    <row r="47" spans="1:17" ht="15.6" customHeight="1">
      <c r="A47" s="246"/>
      <c r="B47" s="246"/>
      <c r="C47" s="246"/>
      <c r="D47" s="246"/>
      <c r="E47" s="246"/>
      <c r="H47" s="997"/>
      <c r="J47" s="246"/>
      <c r="K47" s="246"/>
      <c r="L47" s="15"/>
      <c r="M47" s="15"/>
      <c r="Q47" s="15"/>
    </row>
    <row r="48" spans="1:17">
      <c r="A48" s="13"/>
      <c r="B48" s="13"/>
      <c r="C48" s="13"/>
      <c r="D48" s="13"/>
      <c r="E48" s="1200"/>
      <c r="F48" s="1200"/>
      <c r="G48" s="1200"/>
    </row>
    <row r="49" spans="1:7">
      <c r="A49" s="13"/>
      <c r="B49" s="13"/>
      <c r="C49" s="13"/>
      <c r="D49" s="13"/>
      <c r="E49" s="1196"/>
      <c r="F49" s="1196"/>
      <c r="G49" s="1196"/>
    </row>
  </sheetData>
  <mergeCells count="11">
    <mergeCell ref="A1:E1"/>
    <mergeCell ref="A2:F2"/>
    <mergeCell ref="A3:F3"/>
    <mergeCell ref="A4:C4"/>
    <mergeCell ref="E48:G48"/>
    <mergeCell ref="E49:G49"/>
    <mergeCell ref="F5:G5"/>
    <mergeCell ref="A41:B41"/>
    <mergeCell ref="E44:G44"/>
    <mergeCell ref="E45:G45"/>
    <mergeCell ref="E46:G46"/>
  </mergeCells>
  <printOptions horizontalCentered="1"/>
  <pageMargins left="0.70866141732283472" right="0.70866141732283472" top="0.63" bottom="0" header="0.79" footer="0.31496062992125984"/>
  <pageSetup paperSize="9" scale="67"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R58"/>
  <sheetViews>
    <sheetView zoomScaleSheetLayoutView="90" workbookViewId="0">
      <selection activeCell="E13" sqref="E13"/>
    </sheetView>
  </sheetViews>
  <sheetFormatPr defaultColWidth="9.28515625" defaultRowHeight="12.75"/>
  <cols>
    <col min="1" max="1" width="7.42578125" style="16" customWidth="1"/>
    <col min="2" max="2" width="17.28515625" style="16" customWidth="1"/>
    <col min="3" max="3" width="11" style="16" customWidth="1"/>
    <col min="4" max="4" width="10" style="16" customWidth="1"/>
    <col min="5" max="5" width="13.28515625" style="16" customWidth="1"/>
    <col min="6" max="6" width="15.28515625" style="16" customWidth="1"/>
    <col min="7" max="7" width="13.28515625" style="16" customWidth="1"/>
    <col min="8" max="8" width="14.7109375" style="16" customWidth="1"/>
    <col min="9" max="9" width="16.7109375" style="16" customWidth="1"/>
    <col min="10" max="10" width="19.28515625" style="16" customWidth="1"/>
    <col min="11" max="16384" width="9.28515625" style="16"/>
  </cols>
  <sheetData>
    <row r="1" spans="1:18" customFormat="1">
      <c r="E1" s="1114"/>
      <c r="F1" s="1114"/>
      <c r="G1" s="1114"/>
      <c r="H1" s="1114"/>
      <c r="I1" s="1114"/>
      <c r="J1" s="126" t="s">
        <v>62</v>
      </c>
    </row>
    <row r="2" spans="1:18" customFormat="1" ht="15">
      <c r="A2" s="1190" t="s">
        <v>0</v>
      </c>
      <c r="B2" s="1190"/>
      <c r="C2" s="1190"/>
      <c r="D2" s="1190"/>
      <c r="E2" s="1190"/>
      <c r="F2" s="1190"/>
      <c r="G2" s="1190"/>
      <c r="H2" s="1190"/>
      <c r="I2" s="1190"/>
      <c r="J2" s="1190"/>
    </row>
    <row r="3" spans="1:18" customFormat="1" ht="20.25">
      <c r="A3" s="1112" t="s">
        <v>636</v>
      </c>
      <c r="B3" s="1112"/>
      <c r="C3" s="1112"/>
      <c r="D3" s="1112"/>
      <c r="E3" s="1112"/>
      <c r="F3" s="1112"/>
      <c r="G3" s="1112"/>
      <c r="H3" s="1112"/>
      <c r="I3" s="1112"/>
      <c r="J3" s="1112"/>
    </row>
    <row r="4" spans="1:18" customFormat="1" ht="14.25" customHeight="1"/>
    <row r="5" spans="1:18" ht="31.5" customHeight="1">
      <c r="A5" s="1191" t="s">
        <v>646</v>
      </c>
      <c r="B5" s="1191"/>
      <c r="C5" s="1191"/>
      <c r="D5" s="1191"/>
      <c r="E5" s="1191"/>
      <c r="F5" s="1191"/>
      <c r="G5" s="1191"/>
      <c r="H5" s="1191"/>
      <c r="I5" s="1191"/>
      <c r="J5" s="1191"/>
    </row>
    <row r="6" spans="1:18" ht="13.5" customHeight="1">
      <c r="A6" s="1"/>
      <c r="B6" s="1"/>
      <c r="C6" s="1"/>
      <c r="D6" s="1"/>
      <c r="E6" s="1"/>
      <c r="F6" s="1"/>
      <c r="G6" s="1"/>
      <c r="H6" s="1"/>
      <c r="I6" s="1"/>
      <c r="J6" s="1"/>
    </row>
    <row r="7" spans="1:18" ht="0.75" customHeight="1"/>
    <row r="8" spans="1:18">
      <c r="A8" s="1092" t="s">
        <v>1047</v>
      </c>
      <c r="B8" s="1092"/>
      <c r="C8" s="31"/>
      <c r="H8" s="1179" t="s">
        <v>793</v>
      </c>
      <c r="I8" s="1179"/>
      <c r="J8" s="1179"/>
      <c r="K8" s="103"/>
      <c r="L8" s="103"/>
    </row>
    <row r="9" spans="1:18">
      <c r="A9" s="1083" t="s">
        <v>2</v>
      </c>
      <c r="B9" s="1083" t="s">
        <v>3</v>
      </c>
      <c r="C9" s="1070" t="s">
        <v>647</v>
      </c>
      <c r="D9" s="1183"/>
      <c r="E9" s="1183"/>
      <c r="F9" s="1071"/>
      <c r="G9" s="1066" t="s">
        <v>102</v>
      </c>
      <c r="H9" s="1066"/>
      <c r="I9" s="1066"/>
      <c r="J9" s="1066"/>
      <c r="K9" s="23"/>
      <c r="L9" s="23"/>
      <c r="Q9" s="23"/>
      <c r="R9" s="23"/>
    </row>
    <row r="10" spans="1:18" s="799" customFormat="1" ht="50.25" customHeight="1">
      <c r="A10" s="1083"/>
      <c r="B10" s="1083"/>
      <c r="C10" s="796" t="s">
        <v>186</v>
      </c>
      <c r="D10" s="796" t="s">
        <v>16</v>
      </c>
      <c r="E10" s="763" t="s">
        <v>1099</v>
      </c>
      <c r="F10" s="763" t="s">
        <v>204</v>
      </c>
      <c r="G10" s="796" t="s">
        <v>186</v>
      </c>
      <c r="H10" s="797" t="s">
        <v>17</v>
      </c>
      <c r="I10" s="798" t="s">
        <v>112</v>
      </c>
      <c r="J10" s="796" t="s">
        <v>205</v>
      </c>
    </row>
    <row r="11" spans="1:18">
      <c r="A11" s="5">
        <v>1</v>
      </c>
      <c r="B11" s="5">
        <v>2</v>
      </c>
      <c r="C11" s="5">
        <v>3</v>
      </c>
      <c r="D11" s="5">
        <v>4</v>
      </c>
      <c r="E11" s="5">
        <v>5</v>
      </c>
      <c r="F11" s="7">
        <v>6</v>
      </c>
      <c r="G11" s="5">
        <v>7</v>
      </c>
      <c r="H11" s="96">
        <v>8</v>
      </c>
      <c r="I11" s="5">
        <v>9</v>
      </c>
      <c r="J11" s="5">
        <v>10</v>
      </c>
    </row>
    <row r="12" spans="1:18">
      <c r="A12" s="19">
        <v>1</v>
      </c>
      <c r="B12" s="20" t="s">
        <v>825</v>
      </c>
      <c r="C12" s="584">
        <v>565</v>
      </c>
      <c r="D12" s="585">
        <v>152655</v>
      </c>
      <c r="E12" s="585">
        <v>240</v>
      </c>
      <c r="F12" s="586">
        <f>D12*E12</f>
        <v>36637200</v>
      </c>
      <c r="G12" s="585">
        <v>565</v>
      </c>
      <c r="H12" s="573">
        <v>35565879</v>
      </c>
      <c r="I12" s="573">
        <v>237</v>
      </c>
      <c r="J12" s="573">
        <f>H12/I12</f>
        <v>150067</v>
      </c>
      <c r="O12" s="16">
        <v>42</v>
      </c>
    </row>
    <row r="13" spans="1:18">
      <c r="A13" s="19">
        <v>2</v>
      </c>
      <c r="B13" s="20" t="s">
        <v>826</v>
      </c>
      <c r="C13" s="584">
        <v>48</v>
      </c>
      <c r="D13" s="585">
        <v>64400</v>
      </c>
      <c r="E13" s="585">
        <v>240</v>
      </c>
      <c r="F13" s="586">
        <f t="shared" ref="F13:F44" si="0">D13*E13</f>
        <v>15456000</v>
      </c>
      <c r="G13" s="585">
        <v>45</v>
      </c>
      <c r="H13" s="573">
        <v>14082243.75</v>
      </c>
      <c r="I13" s="573">
        <v>237</v>
      </c>
      <c r="J13" s="573">
        <f t="shared" ref="J13:J44" si="1">H13/I13</f>
        <v>59418.75</v>
      </c>
      <c r="O13" s="16">
        <v>57</v>
      </c>
    </row>
    <row r="14" spans="1:18">
      <c r="A14" s="19">
        <v>3</v>
      </c>
      <c r="B14" s="20" t="s">
        <v>827</v>
      </c>
      <c r="C14" s="584">
        <v>567</v>
      </c>
      <c r="D14" s="585">
        <v>111968</v>
      </c>
      <c r="E14" s="585">
        <v>240</v>
      </c>
      <c r="F14" s="586">
        <f t="shared" si="0"/>
        <v>26872320</v>
      </c>
      <c r="G14" s="585">
        <v>567</v>
      </c>
      <c r="H14" s="573">
        <v>26220021</v>
      </c>
      <c r="I14" s="573">
        <v>237</v>
      </c>
      <c r="J14" s="573">
        <f t="shared" si="1"/>
        <v>110633</v>
      </c>
      <c r="O14" s="16">
        <v>68</v>
      </c>
    </row>
    <row r="15" spans="1:18">
      <c r="A15" s="19">
        <v>4</v>
      </c>
      <c r="B15" s="20" t="s">
        <v>828</v>
      </c>
      <c r="C15" s="584">
        <v>356</v>
      </c>
      <c r="D15" s="585">
        <v>94126</v>
      </c>
      <c r="E15" s="585">
        <v>240</v>
      </c>
      <c r="F15" s="586">
        <f t="shared" si="0"/>
        <v>22590240</v>
      </c>
      <c r="G15" s="585">
        <v>356</v>
      </c>
      <c r="H15" s="573">
        <v>21660555.75</v>
      </c>
      <c r="I15" s="573">
        <v>237</v>
      </c>
      <c r="J15" s="573">
        <f t="shared" si="1"/>
        <v>91394.75</v>
      </c>
      <c r="O15" s="16">
        <v>70</v>
      </c>
    </row>
    <row r="16" spans="1:18">
      <c r="A16" s="19">
        <v>5</v>
      </c>
      <c r="B16" s="20" t="s">
        <v>829</v>
      </c>
      <c r="C16" s="584">
        <v>1155</v>
      </c>
      <c r="D16" s="585">
        <v>210721</v>
      </c>
      <c r="E16" s="585">
        <v>240</v>
      </c>
      <c r="F16" s="586">
        <f t="shared" si="0"/>
        <v>50573040</v>
      </c>
      <c r="G16" s="585">
        <v>1255</v>
      </c>
      <c r="H16" s="573">
        <v>54002405.25</v>
      </c>
      <c r="I16" s="573">
        <v>237</v>
      </c>
      <c r="J16" s="573">
        <f t="shared" si="1"/>
        <v>227858.25</v>
      </c>
      <c r="O16" s="16">
        <f>O12+O13+O14+O15</f>
        <v>237</v>
      </c>
    </row>
    <row r="17" spans="1:10">
      <c r="A17" s="19">
        <v>6</v>
      </c>
      <c r="B17" s="20" t="s">
        <v>830</v>
      </c>
      <c r="C17" s="584">
        <v>264</v>
      </c>
      <c r="D17" s="585">
        <v>58631</v>
      </c>
      <c r="E17" s="585">
        <v>240</v>
      </c>
      <c r="F17" s="586">
        <f t="shared" si="0"/>
        <v>14071440</v>
      </c>
      <c r="G17" s="585">
        <v>242</v>
      </c>
      <c r="H17" s="573">
        <v>14137998</v>
      </c>
      <c r="I17" s="573">
        <v>237</v>
      </c>
      <c r="J17" s="573">
        <f t="shared" si="1"/>
        <v>59654</v>
      </c>
    </row>
    <row r="18" spans="1:10">
      <c r="A18" s="19">
        <v>7</v>
      </c>
      <c r="B18" s="20" t="s">
        <v>831</v>
      </c>
      <c r="C18" s="584">
        <v>250</v>
      </c>
      <c r="D18" s="585">
        <v>86259</v>
      </c>
      <c r="E18" s="585">
        <v>240</v>
      </c>
      <c r="F18" s="586">
        <f t="shared" si="0"/>
        <v>20702160</v>
      </c>
      <c r="G18" s="585">
        <v>250</v>
      </c>
      <c r="H18" s="573">
        <v>11711829</v>
      </c>
      <c r="I18" s="573">
        <v>237</v>
      </c>
      <c r="J18" s="573">
        <f t="shared" si="1"/>
        <v>49417</v>
      </c>
    </row>
    <row r="19" spans="1:10">
      <c r="A19" s="19">
        <v>8</v>
      </c>
      <c r="B19" s="20" t="s">
        <v>832</v>
      </c>
      <c r="C19" s="584">
        <v>255</v>
      </c>
      <c r="D19" s="585">
        <v>110076</v>
      </c>
      <c r="E19" s="585">
        <v>240</v>
      </c>
      <c r="F19" s="586">
        <f t="shared" si="0"/>
        <v>26418240</v>
      </c>
      <c r="G19" s="585">
        <v>260</v>
      </c>
      <c r="H19" s="573">
        <v>25331863.5</v>
      </c>
      <c r="I19" s="573">
        <v>237</v>
      </c>
      <c r="J19" s="573">
        <f t="shared" si="1"/>
        <v>106885.5</v>
      </c>
    </row>
    <row r="20" spans="1:10">
      <c r="A20" s="19">
        <v>9</v>
      </c>
      <c r="B20" s="20" t="s">
        <v>833</v>
      </c>
      <c r="C20" s="584">
        <v>227</v>
      </c>
      <c r="D20" s="585">
        <v>106334</v>
      </c>
      <c r="E20" s="585">
        <v>240</v>
      </c>
      <c r="F20" s="586">
        <f t="shared" si="0"/>
        <v>25520160</v>
      </c>
      <c r="G20" s="585">
        <v>226</v>
      </c>
      <c r="H20" s="573">
        <v>29869643.25</v>
      </c>
      <c r="I20" s="573">
        <v>237</v>
      </c>
      <c r="J20" s="573">
        <f t="shared" si="1"/>
        <v>126032.25</v>
      </c>
    </row>
    <row r="21" spans="1:10">
      <c r="A21" s="19">
        <v>10</v>
      </c>
      <c r="B21" s="20" t="s">
        <v>834</v>
      </c>
      <c r="C21" s="584">
        <v>260</v>
      </c>
      <c r="D21" s="585">
        <v>28306</v>
      </c>
      <c r="E21" s="585">
        <v>240</v>
      </c>
      <c r="F21" s="586">
        <f t="shared" si="0"/>
        <v>6793440</v>
      </c>
      <c r="G21" s="585">
        <v>254</v>
      </c>
      <c r="H21" s="573">
        <v>6658455.75</v>
      </c>
      <c r="I21" s="573">
        <v>237</v>
      </c>
      <c r="J21" s="573">
        <f t="shared" si="1"/>
        <v>28094.75</v>
      </c>
    </row>
    <row r="22" spans="1:10">
      <c r="A22" s="19">
        <v>11</v>
      </c>
      <c r="B22" s="20" t="s">
        <v>835</v>
      </c>
      <c r="C22" s="584">
        <v>123</v>
      </c>
      <c r="D22" s="585">
        <v>57306</v>
      </c>
      <c r="E22" s="585">
        <v>240</v>
      </c>
      <c r="F22" s="586">
        <f t="shared" si="0"/>
        <v>13753440</v>
      </c>
      <c r="G22" s="585">
        <v>127</v>
      </c>
      <c r="H22" s="573">
        <v>14767351.5</v>
      </c>
      <c r="I22" s="573">
        <v>237</v>
      </c>
      <c r="J22" s="573">
        <f t="shared" si="1"/>
        <v>62309.5</v>
      </c>
    </row>
    <row r="23" spans="1:10">
      <c r="A23" s="19">
        <v>12</v>
      </c>
      <c r="B23" s="20" t="s">
        <v>836</v>
      </c>
      <c r="C23" s="584">
        <v>618</v>
      </c>
      <c r="D23" s="585">
        <v>119242</v>
      </c>
      <c r="E23" s="585">
        <v>240</v>
      </c>
      <c r="F23" s="586">
        <f t="shared" si="0"/>
        <v>28618080</v>
      </c>
      <c r="G23" s="585">
        <v>618</v>
      </c>
      <c r="H23" s="573">
        <v>28085803.5</v>
      </c>
      <c r="I23" s="573">
        <v>237</v>
      </c>
      <c r="J23" s="573">
        <f t="shared" si="1"/>
        <v>118505.5</v>
      </c>
    </row>
    <row r="24" spans="1:10">
      <c r="A24" s="19">
        <v>13</v>
      </c>
      <c r="B24" s="20" t="s">
        <v>837</v>
      </c>
      <c r="C24" s="584">
        <v>791</v>
      </c>
      <c r="D24" s="585">
        <v>220503</v>
      </c>
      <c r="E24" s="585">
        <v>240</v>
      </c>
      <c r="F24" s="586">
        <f t="shared" si="0"/>
        <v>52920720</v>
      </c>
      <c r="G24" s="585">
        <v>789</v>
      </c>
      <c r="H24" s="573">
        <v>46765136.25</v>
      </c>
      <c r="I24" s="573">
        <v>237</v>
      </c>
      <c r="J24" s="573">
        <f t="shared" si="1"/>
        <v>197321.25</v>
      </c>
    </row>
    <row r="25" spans="1:10">
      <c r="A25" s="19">
        <v>14</v>
      </c>
      <c r="B25" s="20" t="s">
        <v>838</v>
      </c>
      <c r="C25" s="584">
        <v>28</v>
      </c>
      <c r="D25" s="585">
        <v>46626</v>
      </c>
      <c r="E25" s="585">
        <v>240</v>
      </c>
      <c r="F25" s="586">
        <f t="shared" si="0"/>
        <v>11190240</v>
      </c>
      <c r="G25" s="585">
        <v>24</v>
      </c>
      <c r="H25" s="573">
        <v>12338634.75</v>
      </c>
      <c r="I25" s="573">
        <v>237</v>
      </c>
      <c r="J25" s="573">
        <f t="shared" si="1"/>
        <v>52061.75</v>
      </c>
    </row>
    <row r="26" spans="1:10">
      <c r="A26" s="19">
        <v>15</v>
      </c>
      <c r="B26" s="20" t="s">
        <v>839</v>
      </c>
      <c r="C26" s="584">
        <v>114</v>
      </c>
      <c r="D26" s="585">
        <v>87052</v>
      </c>
      <c r="E26" s="585">
        <v>240</v>
      </c>
      <c r="F26" s="586">
        <f t="shared" si="0"/>
        <v>20892480</v>
      </c>
      <c r="G26" s="585">
        <v>111</v>
      </c>
      <c r="H26" s="573">
        <v>9948193.5</v>
      </c>
      <c r="I26" s="573">
        <v>237</v>
      </c>
      <c r="J26" s="573">
        <f t="shared" si="1"/>
        <v>41975.5</v>
      </c>
    </row>
    <row r="27" spans="1:10">
      <c r="A27" s="19">
        <v>16</v>
      </c>
      <c r="B27" s="20" t="s">
        <v>840</v>
      </c>
      <c r="C27" s="584">
        <v>33</v>
      </c>
      <c r="D27" s="585">
        <v>19378</v>
      </c>
      <c r="E27" s="585">
        <v>240</v>
      </c>
      <c r="F27" s="586">
        <f t="shared" si="0"/>
        <v>4650720</v>
      </c>
      <c r="G27" s="585">
        <v>85</v>
      </c>
      <c r="H27" s="573">
        <v>5303882.25</v>
      </c>
      <c r="I27" s="573">
        <v>237</v>
      </c>
      <c r="J27" s="573">
        <f t="shared" si="1"/>
        <v>22379.25</v>
      </c>
    </row>
    <row r="28" spans="1:10">
      <c r="A28" s="19">
        <v>17</v>
      </c>
      <c r="B28" s="20" t="s">
        <v>841</v>
      </c>
      <c r="C28" s="584">
        <v>146</v>
      </c>
      <c r="D28" s="585">
        <v>94674</v>
      </c>
      <c r="E28" s="585">
        <v>240</v>
      </c>
      <c r="F28" s="586">
        <f t="shared" si="0"/>
        <v>22721760</v>
      </c>
      <c r="G28" s="585">
        <v>146</v>
      </c>
      <c r="H28" s="573">
        <v>22404202.5</v>
      </c>
      <c r="I28" s="573">
        <v>237</v>
      </c>
      <c r="J28" s="573">
        <f t="shared" si="1"/>
        <v>94532.5</v>
      </c>
    </row>
    <row r="29" spans="1:10">
      <c r="A29" s="19">
        <v>18</v>
      </c>
      <c r="B29" s="20" t="s">
        <v>842</v>
      </c>
      <c r="C29" s="584">
        <v>172</v>
      </c>
      <c r="D29" s="585">
        <v>82811</v>
      </c>
      <c r="E29" s="585">
        <v>240</v>
      </c>
      <c r="F29" s="586">
        <f t="shared" si="0"/>
        <v>19874640</v>
      </c>
      <c r="G29" s="585">
        <v>172</v>
      </c>
      <c r="H29" s="573">
        <v>21276438</v>
      </c>
      <c r="I29" s="573">
        <v>237</v>
      </c>
      <c r="J29" s="573">
        <f t="shared" si="1"/>
        <v>89774</v>
      </c>
    </row>
    <row r="30" spans="1:10">
      <c r="A30" s="19">
        <v>19</v>
      </c>
      <c r="B30" s="20" t="s">
        <v>843</v>
      </c>
      <c r="C30" s="584">
        <v>74</v>
      </c>
      <c r="D30" s="585">
        <v>73014</v>
      </c>
      <c r="E30" s="585">
        <v>240</v>
      </c>
      <c r="F30" s="586">
        <f t="shared" si="0"/>
        <v>17523360</v>
      </c>
      <c r="G30" s="585">
        <v>43</v>
      </c>
      <c r="H30" s="573">
        <v>18947261.25</v>
      </c>
      <c r="I30" s="573">
        <v>237</v>
      </c>
      <c r="J30" s="573">
        <f t="shared" si="1"/>
        <v>79946.25</v>
      </c>
    </row>
    <row r="31" spans="1:10">
      <c r="A31" s="19">
        <v>20</v>
      </c>
      <c r="B31" s="20" t="s">
        <v>844</v>
      </c>
      <c r="C31" s="584">
        <v>436</v>
      </c>
      <c r="D31" s="585">
        <v>86257</v>
      </c>
      <c r="E31" s="585">
        <v>240</v>
      </c>
      <c r="F31" s="586">
        <f t="shared" si="0"/>
        <v>20701680</v>
      </c>
      <c r="G31" s="585">
        <v>436</v>
      </c>
      <c r="H31" s="573">
        <v>20431236.75</v>
      </c>
      <c r="I31" s="573">
        <v>237</v>
      </c>
      <c r="J31" s="573">
        <f t="shared" si="1"/>
        <v>86207.75</v>
      </c>
    </row>
    <row r="32" spans="1:10" ht="15.75" customHeight="1">
      <c r="A32" s="19">
        <v>21</v>
      </c>
      <c r="B32" s="20" t="s">
        <v>845</v>
      </c>
      <c r="C32" s="584">
        <v>553</v>
      </c>
      <c r="D32" s="585">
        <v>113970.66666666667</v>
      </c>
      <c r="E32" s="585">
        <v>240</v>
      </c>
      <c r="F32" s="586">
        <f t="shared" si="0"/>
        <v>27352960</v>
      </c>
      <c r="G32" s="585">
        <v>564</v>
      </c>
      <c r="H32" s="573">
        <v>27772252.5</v>
      </c>
      <c r="I32" s="573">
        <v>237</v>
      </c>
      <c r="J32" s="573">
        <f t="shared" si="1"/>
        <v>117182.5</v>
      </c>
    </row>
    <row r="33" spans="1:10" ht="12.75" customHeight="1">
      <c r="A33" s="19">
        <v>22</v>
      </c>
      <c r="B33" s="20" t="s">
        <v>846</v>
      </c>
      <c r="C33" s="584">
        <v>71</v>
      </c>
      <c r="D33" s="585">
        <v>72060</v>
      </c>
      <c r="E33" s="585">
        <v>240</v>
      </c>
      <c r="F33" s="586">
        <f t="shared" si="0"/>
        <v>17294400</v>
      </c>
      <c r="G33" s="585">
        <v>71</v>
      </c>
      <c r="H33" s="573">
        <v>16073399.25</v>
      </c>
      <c r="I33" s="573">
        <v>237</v>
      </c>
      <c r="J33" s="573">
        <f t="shared" si="1"/>
        <v>67820.25</v>
      </c>
    </row>
    <row r="34" spans="1:10" ht="12.75" customHeight="1">
      <c r="A34" s="19">
        <v>23</v>
      </c>
      <c r="B34" s="20" t="s">
        <v>847</v>
      </c>
      <c r="C34" s="584">
        <v>643</v>
      </c>
      <c r="D34" s="585">
        <v>87893.666666666672</v>
      </c>
      <c r="E34" s="585">
        <v>240</v>
      </c>
      <c r="F34" s="586">
        <f t="shared" si="0"/>
        <v>21094480</v>
      </c>
      <c r="G34" s="585">
        <v>643</v>
      </c>
      <c r="H34" s="573">
        <v>21557520</v>
      </c>
      <c r="I34" s="573">
        <v>237</v>
      </c>
      <c r="J34" s="573">
        <f t="shared" si="1"/>
        <v>90960</v>
      </c>
    </row>
    <row r="35" spans="1:10">
      <c r="A35" s="19">
        <v>24</v>
      </c>
      <c r="B35" s="20" t="s">
        <v>848</v>
      </c>
      <c r="C35" s="584">
        <v>473</v>
      </c>
      <c r="D35" s="585">
        <v>84605</v>
      </c>
      <c r="E35" s="585">
        <v>240</v>
      </c>
      <c r="F35" s="586">
        <f t="shared" si="0"/>
        <v>20305200</v>
      </c>
      <c r="G35" s="585">
        <v>534</v>
      </c>
      <c r="H35" s="573">
        <v>17522061.75</v>
      </c>
      <c r="I35" s="573">
        <v>237</v>
      </c>
      <c r="J35" s="573">
        <f t="shared" si="1"/>
        <v>73932.75</v>
      </c>
    </row>
    <row r="36" spans="1:10">
      <c r="A36" s="19">
        <v>25</v>
      </c>
      <c r="B36" s="20" t="s">
        <v>849</v>
      </c>
      <c r="C36" s="584">
        <v>271</v>
      </c>
      <c r="D36" s="585">
        <v>36649.666666666664</v>
      </c>
      <c r="E36" s="585">
        <v>240</v>
      </c>
      <c r="F36" s="586">
        <f t="shared" si="0"/>
        <v>8795920</v>
      </c>
      <c r="G36" s="585">
        <v>271</v>
      </c>
      <c r="H36" s="573">
        <v>9090372</v>
      </c>
      <c r="I36" s="573">
        <v>237</v>
      </c>
      <c r="J36" s="573">
        <f t="shared" si="1"/>
        <v>38356</v>
      </c>
    </row>
    <row r="37" spans="1:10">
      <c r="A37" s="19">
        <v>26</v>
      </c>
      <c r="B37" s="20" t="s">
        <v>850</v>
      </c>
      <c r="C37" s="584">
        <v>481</v>
      </c>
      <c r="D37" s="585">
        <v>49147</v>
      </c>
      <c r="E37" s="585">
        <v>240</v>
      </c>
      <c r="F37" s="586">
        <f t="shared" si="0"/>
        <v>11795280</v>
      </c>
      <c r="G37" s="585">
        <v>487</v>
      </c>
      <c r="H37" s="573">
        <v>11346434.25</v>
      </c>
      <c r="I37" s="573">
        <v>237</v>
      </c>
      <c r="J37" s="573">
        <f t="shared" si="1"/>
        <v>47875.25</v>
      </c>
    </row>
    <row r="38" spans="1:10">
      <c r="A38" s="19">
        <v>27</v>
      </c>
      <c r="B38" s="20" t="s">
        <v>851</v>
      </c>
      <c r="C38" s="584">
        <v>552</v>
      </c>
      <c r="D38" s="585">
        <v>55759</v>
      </c>
      <c r="E38" s="585">
        <v>240</v>
      </c>
      <c r="F38" s="586">
        <f t="shared" si="0"/>
        <v>13382160</v>
      </c>
      <c r="G38" s="585">
        <v>552</v>
      </c>
      <c r="H38" s="573">
        <v>17427913.5</v>
      </c>
      <c r="I38" s="573">
        <v>237</v>
      </c>
      <c r="J38" s="573">
        <f t="shared" si="1"/>
        <v>73535.5</v>
      </c>
    </row>
    <row r="39" spans="1:10">
      <c r="A39" s="19">
        <v>28</v>
      </c>
      <c r="B39" s="20" t="s">
        <v>852</v>
      </c>
      <c r="C39" s="584">
        <v>17</v>
      </c>
      <c r="D39" s="585">
        <v>32300</v>
      </c>
      <c r="E39" s="585">
        <v>240</v>
      </c>
      <c r="F39" s="586">
        <f t="shared" si="0"/>
        <v>7752000</v>
      </c>
      <c r="G39" s="585">
        <v>17</v>
      </c>
      <c r="H39" s="573">
        <v>8594390.25</v>
      </c>
      <c r="I39" s="573">
        <v>237</v>
      </c>
      <c r="J39" s="573">
        <f t="shared" si="1"/>
        <v>36263.25</v>
      </c>
    </row>
    <row r="40" spans="1:10">
      <c r="A40" s="19">
        <v>29</v>
      </c>
      <c r="B40" s="20" t="s">
        <v>1041</v>
      </c>
      <c r="C40" s="584">
        <v>864</v>
      </c>
      <c r="D40" s="585">
        <v>86043</v>
      </c>
      <c r="E40" s="585">
        <v>240</v>
      </c>
      <c r="F40" s="586">
        <f t="shared" si="0"/>
        <v>20650320</v>
      </c>
      <c r="G40" s="585">
        <v>819</v>
      </c>
      <c r="H40" s="573">
        <v>19677754.5</v>
      </c>
      <c r="I40" s="573">
        <v>237</v>
      </c>
      <c r="J40" s="573">
        <f t="shared" si="1"/>
        <v>83028.5</v>
      </c>
    </row>
    <row r="41" spans="1:10">
      <c r="A41" s="19">
        <v>30</v>
      </c>
      <c r="B41" s="20" t="s">
        <v>1042</v>
      </c>
      <c r="C41" s="584">
        <v>108</v>
      </c>
      <c r="D41" s="585">
        <v>30857</v>
      </c>
      <c r="E41" s="585">
        <v>240</v>
      </c>
      <c r="F41" s="586">
        <f t="shared" si="0"/>
        <v>7405680</v>
      </c>
      <c r="G41" s="585">
        <v>108</v>
      </c>
      <c r="H41" s="573">
        <v>6637303.5</v>
      </c>
      <c r="I41" s="573">
        <v>237</v>
      </c>
      <c r="J41" s="573">
        <f t="shared" si="1"/>
        <v>28005.5</v>
      </c>
    </row>
    <row r="42" spans="1:10">
      <c r="A42" s="19">
        <v>31</v>
      </c>
      <c r="B42" s="20" t="s">
        <v>1043</v>
      </c>
      <c r="C42" s="584">
        <v>144</v>
      </c>
      <c r="D42" s="585">
        <v>45704</v>
      </c>
      <c r="E42" s="585">
        <v>240</v>
      </c>
      <c r="F42" s="586">
        <f t="shared" si="0"/>
        <v>10968960</v>
      </c>
      <c r="G42" s="585">
        <v>59</v>
      </c>
      <c r="H42" s="573">
        <v>10755771</v>
      </c>
      <c r="I42" s="573">
        <v>237</v>
      </c>
      <c r="J42" s="573">
        <f t="shared" si="1"/>
        <v>45383</v>
      </c>
    </row>
    <row r="43" spans="1:10">
      <c r="A43" s="19">
        <v>32</v>
      </c>
      <c r="B43" s="20" t="s">
        <v>1044</v>
      </c>
      <c r="C43" s="584">
        <v>697</v>
      </c>
      <c r="D43" s="585">
        <v>85316</v>
      </c>
      <c r="E43" s="585">
        <v>240</v>
      </c>
      <c r="F43" s="586">
        <f t="shared" si="0"/>
        <v>20475840</v>
      </c>
      <c r="G43" s="585">
        <v>697</v>
      </c>
      <c r="H43" s="573">
        <v>17832354</v>
      </c>
      <c r="I43" s="573">
        <v>237</v>
      </c>
      <c r="J43" s="573">
        <f t="shared" si="1"/>
        <v>75242</v>
      </c>
    </row>
    <row r="44" spans="1:10">
      <c r="A44" s="19">
        <v>33</v>
      </c>
      <c r="B44" s="20" t="s">
        <v>857</v>
      </c>
      <c r="C44" s="584">
        <v>27</v>
      </c>
      <c r="D44" s="585">
        <v>38481</v>
      </c>
      <c r="E44" s="585">
        <v>240</v>
      </c>
      <c r="F44" s="586">
        <f t="shared" si="0"/>
        <v>9235440</v>
      </c>
      <c r="G44" s="585">
        <v>27</v>
      </c>
      <c r="H44" s="573">
        <v>9669244.5</v>
      </c>
      <c r="I44" s="573">
        <v>237</v>
      </c>
      <c r="J44" s="573">
        <f t="shared" si="1"/>
        <v>40798.5</v>
      </c>
    </row>
    <row r="45" spans="1:10">
      <c r="A45" s="3" t="s">
        <v>18</v>
      </c>
      <c r="B45" s="29"/>
      <c r="C45" s="576">
        <f>SUM(C12:C44)</f>
        <v>11383</v>
      </c>
      <c r="D45" s="576">
        <f t="shared" ref="D45:J45" si="2">SUM(D12:D44)</f>
        <v>2729125</v>
      </c>
      <c r="E45" s="576">
        <v>240</v>
      </c>
      <c r="F45" s="576">
        <f t="shared" si="2"/>
        <v>654990000</v>
      </c>
      <c r="G45" s="576">
        <f t="shared" si="2"/>
        <v>11420</v>
      </c>
      <c r="H45" s="576">
        <f>SUM(H12:H44)</f>
        <v>633465805.5</v>
      </c>
      <c r="I45" s="577">
        <v>237</v>
      </c>
      <c r="J45" s="576">
        <f t="shared" si="2"/>
        <v>2672851.5</v>
      </c>
    </row>
    <row r="46" spans="1:10">
      <c r="A46" s="12"/>
      <c r="B46" s="30"/>
      <c r="C46" s="30"/>
      <c r="D46" s="23"/>
      <c r="E46" s="23"/>
      <c r="F46" s="23"/>
      <c r="G46" s="23"/>
      <c r="H46" s="23"/>
      <c r="I46" s="23"/>
      <c r="J46" s="23"/>
    </row>
    <row r="47" spans="1:10">
      <c r="A47" s="12"/>
      <c r="B47" s="30"/>
      <c r="C47" s="30"/>
      <c r="D47" s="23"/>
      <c r="E47" s="23"/>
      <c r="F47" s="23"/>
      <c r="G47" s="23"/>
      <c r="H47" s="23"/>
      <c r="I47" s="23"/>
      <c r="J47" s="23"/>
    </row>
    <row r="48" spans="1:10">
      <c r="A48" s="12"/>
      <c r="B48" s="30"/>
      <c r="C48" s="30"/>
      <c r="D48" s="23"/>
      <c r="E48" s="23"/>
      <c r="F48" s="23"/>
      <c r="G48" s="23"/>
      <c r="H48" s="23"/>
      <c r="I48" s="23"/>
      <c r="J48" s="23"/>
    </row>
    <row r="49" spans="1:17" s="991" customFormat="1">
      <c r="A49" s="15" t="s">
        <v>12</v>
      </c>
      <c r="B49" s="15"/>
      <c r="C49" s="15"/>
      <c r="D49" s="15"/>
      <c r="E49" s="15"/>
      <c r="F49" s="15"/>
      <c r="G49" s="15"/>
      <c r="I49" s="15"/>
      <c r="O49" s="990"/>
      <c r="P49" s="990"/>
      <c r="Q49" s="990"/>
    </row>
    <row r="50" spans="1:17" customFormat="1" ht="15.6" customHeight="1">
      <c r="B50" s="989"/>
      <c r="C50" s="989"/>
      <c r="D50" s="989"/>
      <c r="E50" s="16"/>
      <c r="F50" s="16"/>
      <c r="G50" s="16"/>
      <c r="H50" s="1040" t="s">
        <v>1106</v>
      </c>
      <c r="I50" s="1040"/>
      <c r="J50" s="1040"/>
      <c r="N50" s="989"/>
    </row>
    <row r="51" spans="1:17" customFormat="1" ht="15.6" customHeight="1">
      <c r="B51" s="989"/>
      <c r="C51" s="989"/>
      <c r="D51" s="989"/>
      <c r="E51" s="16"/>
      <c r="F51" s="16"/>
      <c r="G51" s="16"/>
      <c r="H51" s="1040" t="s">
        <v>481</v>
      </c>
      <c r="I51" s="1040"/>
      <c r="J51" s="1040"/>
      <c r="L51" s="15"/>
      <c r="M51" s="15"/>
      <c r="Q51" s="15"/>
    </row>
    <row r="52" spans="1:17" customFormat="1" ht="15.6" customHeight="1">
      <c r="A52" s="989" t="s">
        <v>1105</v>
      </c>
      <c r="B52" s="989"/>
      <c r="C52" s="989"/>
      <c r="D52" s="989"/>
      <c r="E52" s="16"/>
      <c r="F52" s="16"/>
      <c r="G52" s="16"/>
      <c r="H52" s="1040" t="s">
        <v>1107</v>
      </c>
      <c r="I52" s="1040"/>
      <c r="J52" s="1040"/>
      <c r="L52" s="15"/>
      <c r="M52" s="15"/>
      <c r="Q52" s="15"/>
    </row>
    <row r="56" spans="1:17">
      <c r="A56" s="1201"/>
      <c r="B56" s="1201"/>
      <c r="C56" s="1201"/>
      <c r="D56" s="1201"/>
      <c r="E56" s="1201"/>
      <c r="F56" s="1201"/>
      <c r="G56" s="1201"/>
      <c r="H56" s="1201"/>
      <c r="I56" s="1201"/>
      <c r="J56" s="1201"/>
    </row>
    <row r="58" spans="1:17">
      <c r="A58" s="1201"/>
      <c r="B58" s="1201"/>
      <c r="C58" s="1201"/>
      <c r="D58" s="1201"/>
      <c r="E58" s="1201"/>
      <c r="F58" s="1201"/>
      <c r="G58" s="1201"/>
      <c r="H58" s="1201"/>
      <c r="I58" s="1201"/>
      <c r="J58" s="1201"/>
    </row>
  </sheetData>
  <mergeCells count="15">
    <mergeCell ref="A58:J58"/>
    <mergeCell ref="A56:J56"/>
    <mergeCell ref="H50:J50"/>
    <mergeCell ref="H51:J51"/>
    <mergeCell ref="H52:J52"/>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63" bottom="0" header="0.79" footer="0.31496062992125984"/>
  <pageSetup paperSize="9" scale="96"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P55"/>
  <sheetViews>
    <sheetView topLeftCell="A37" zoomScaleSheetLayoutView="90" workbookViewId="0">
      <selection activeCell="E13" sqref="E13"/>
    </sheetView>
  </sheetViews>
  <sheetFormatPr defaultColWidth="9.28515625" defaultRowHeight="12.75"/>
  <cols>
    <col min="1" max="1" width="7.42578125" style="16" customWidth="1"/>
    <col min="2" max="2" width="17.28515625" style="16" customWidth="1"/>
    <col min="3" max="3" width="11" style="16" customWidth="1"/>
    <col min="4" max="4" width="10" style="16" customWidth="1"/>
    <col min="5" max="6" width="14.28515625" style="16" customWidth="1"/>
    <col min="7" max="7" width="13.28515625" style="16" customWidth="1"/>
    <col min="8" max="8" width="14.7109375" style="16" customWidth="1"/>
    <col min="9" max="9" width="16.7109375" style="16" customWidth="1"/>
    <col min="10" max="10" width="19.28515625" style="16" customWidth="1"/>
    <col min="11" max="16384" width="9.28515625" style="16"/>
  </cols>
  <sheetData>
    <row r="1" spans="1:16" customFormat="1">
      <c r="E1" s="1114"/>
      <c r="F1" s="1114"/>
      <c r="G1" s="1114"/>
      <c r="H1" s="1114"/>
      <c r="I1" s="1114"/>
      <c r="J1" s="126" t="s">
        <v>360</v>
      </c>
    </row>
    <row r="2" spans="1:16" customFormat="1" ht="15">
      <c r="A2" s="1190" t="s">
        <v>0</v>
      </c>
      <c r="B2" s="1190"/>
      <c r="C2" s="1190"/>
      <c r="D2" s="1190"/>
      <c r="E2" s="1190"/>
      <c r="F2" s="1190"/>
      <c r="G2" s="1190"/>
      <c r="H2" s="1190"/>
      <c r="I2" s="1190"/>
      <c r="J2" s="1190"/>
    </row>
    <row r="3" spans="1:16" customFormat="1" ht="20.25">
      <c r="A3" s="1112" t="s">
        <v>636</v>
      </c>
      <c r="B3" s="1112"/>
      <c r="C3" s="1112"/>
      <c r="D3" s="1112"/>
      <c r="E3" s="1112"/>
      <c r="F3" s="1112"/>
      <c r="G3" s="1112"/>
      <c r="H3" s="1112"/>
      <c r="I3" s="1112"/>
      <c r="J3" s="1112"/>
    </row>
    <row r="4" spans="1:16" customFormat="1" ht="14.25" customHeight="1"/>
    <row r="5" spans="1:16" ht="15.75">
      <c r="A5" s="1191" t="s">
        <v>673</v>
      </c>
      <c r="B5" s="1191"/>
      <c r="C5" s="1191"/>
      <c r="D5" s="1191"/>
      <c r="E5" s="1191"/>
      <c r="F5" s="1191"/>
      <c r="G5" s="1191"/>
      <c r="H5" s="1191"/>
      <c r="I5" s="1191"/>
      <c r="J5" s="1191"/>
    </row>
    <row r="6" spans="1:16" ht="13.5" customHeight="1">
      <c r="A6" s="1"/>
      <c r="B6" s="1"/>
      <c r="C6" s="1"/>
      <c r="D6" s="1"/>
      <c r="E6" s="1"/>
      <c r="F6" s="1"/>
      <c r="G6" s="1"/>
      <c r="H6" s="1"/>
      <c r="I6" s="1"/>
      <c r="J6" s="1"/>
    </row>
    <row r="7" spans="1:16" ht="0.75" customHeight="1"/>
    <row r="8" spans="1:16">
      <c r="A8" s="1092" t="s">
        <v>1047</v>
      </c>
      <c r="B8" s="1092"/>
      <c r="C8" s="31"/>
      <c r="H8" s="1179" t="s">
        <v>793</v>
      </c>
      <c r="I8" s="1179"/>
      <c r="J8" s="1179"/>
    </row>
    <row r="9" spans="1:16">
      <c r="A9" s="1083" t="s">
        <v>2</v>
      </c>
      <c r="B9" s="1083" t="s">
        <v>3</v>
      </c>
      <c r="C9" s="1070" t="s">
        <v>647</v>
      </c>
      <c r="D9" s="1183"/>
      <c r="E9" s="1183"/>
      <c r="F9" s="1071"/>
      <c r="G9" s="1070" t="s">
        <v>102</v>
      </c>
      <c r="H9" s="1183"/>
      <c r="I9" s="1183"/>
      <c r="J9" s="1071"/>
      <c r="O9" s="23"/>
      <c r="P9" s="23"/>
    </row>
    <row r="10" spans="1:16" s="799" customFormat="1" ht="51">
      <c r="A10" s="1083"/>
      <c r="B10" s="1083"/>
      <c r="C10" s="796" t="s">
        <v>186</v>
      </c>
      <c r="D10" s="796" t="s">
        <v>16</v>
      </c>
      <c r="E10" s="800" t="s">
        <v>1099</v>
      </c>
      <c r="F10" s="763" t="s">
        <v>204</v>
      </c>
      <c r="G10" s="796" t="s">
        <v>186</v>
      </c>
      <c r="H10" s="797" t="s">
        <v>17</v>
      </c>
      <c r="I10" s="798" t="s">
        <v>112</v>
      </c>
      <c r="J10" s="796" t="s">
        <v>205</v>
      </c>
    </row>
    <row r="11" spans="1:16">
      <c r="A11" s="5">
        <v>1</v>
      </c>
      <c r="B11" s="5">
        <v>2</v>
      </c>
      <c r="C11" s="5">
        <v>3</v>
      </c>
      <c r="D11" s="5">
        <v>4</v>
      </c>
      <c r="E11" s="5">
        <v>5</v>
      </c>
      <c r="F11" s="7">
        <v>6</v>
      </c>
      <c r="G11" s="5">
        <v>7</v>
      </c>
      <c r="H11" s="96">
        <v>8</v>
      </c>
      <c r="I11" s="5">
        <v>9</v>
      </c>
      <c r="J11" s="5">
        <v>10</v>
      </c>
    </row>
    <row r="12" spans="1:16">
      <c r="A12" s="19">
        <v>1</v>
      </c>
      <c r="B12" s="20" t="s">
        <v>825</v>
      </c>
      <c r="C12" s="20">
        <v>947</v>
      </c>
      <c r="D12" s="20">
        <v>96785</v>
      </c>
      <c r="E12" s="20">
        <v>240</v>
      </c>
      <c r="F12" s="98">
        <f>D12*E12</f>
        <v>23228400</v>
      </c>
      <c r="G12" s="20">
        <v>730</v>
      </c>
      <c r="H12" s="573">
        <v>26850796.5</v>
      </c>
      <c r="I12" s="28">
        <v>237</v>
      </c>
      <c r="J12" s="573">
        <f>H12/I12</f>
        <v>113294.5</v>
      </c>
    </row>
    <row r="13" spans="1:16">
      <c r="A13" s="19">
        <v>2</v>
      </c>
      <c r="B13" s="20" t="s">
        <v>826</v>
      </c>
      <c r="C13" s="20">
        <v>767</v>
      </c>
      <c r="D13" s="20">
        <v>39463</v>
      </c>
      <c r="E13" s="20">
        <v>240</v>
      </c>
      <c r="F13" s="98">
        <f t="shared" ref="F13:F44" si="0">D13*E13</f>
        <v>9471120</v>
      </c>
      <c r="G13" s="20">
        <v>766</v>
      </c>
      <c r="H13" s="573">
        <v>8652692.25</v>
      </c>
      <c r="I13" s="28">
        <v>237</v>
      </c>
      <c r="J13" s="573">
        <f t="shared" ref="J13:J44" si="1">H13/I13</f>
        <v>36509.25</v>
      </c>
    </row>
    <row r="14" spans="1:16">
      <c r="A14" s="19">
        <v>3</v>
      </c>
      <c r="B14" s="20" t="s">
        <v>827</v>
      </c>
      <c r="C14" s="20">
        <v>886</v>
      </c>
      <c r="D14" s="20">
        <v>72803</v>
      </c>
      <c r="E14" s="20">
        <v>240</v>
      </c>
      <c r="F14" s="98">
        <f t="shared" si="0"/>
        <v>17472720</v>
      </c>
      <c r="G14" s="20">
        <v>882</v>
      </c>
      <c r="H14" s="573">
        <v>17844085.5</v>
      </c>
      <c r="I14" s="28">
        <v>237</v>
      </c>
      <c r="J14" s="573">
        <f t="shared" si="1"/>
        <v>75291.5</v>
      </c>
    </row>
    <row r="15" spans="1:16">
      <c r="A15" s="19">
        <v>4</v>
      </c>
      <c r="B15" s="20" t="s">
        <v>828</v>
      </c>
      <c r="C15" s="20">
        <v>805</v>
      </c>
      <c r="D15" s="20">
        <v>57091</v>
      </c>
      <c r="E15" s="20">
        <v>240</v>
      </c>
      <c r="F15" s="98">
        <f t="shared" si="0"/>
        <v>13701840</v>
      </c>
      <c r="G15" s="20">
        <v>745</v>
      </c>
      <c r="H15" s="573">
        <v>14320251</v>
      </c>
      <c r="I15" s="28">
        <v>237</v>
      </c>
      <c r="J15" s="573">
        <f t="shared" si="1"/>
        <v>60423</v>
      </c>
    </row>
    <row r="16" spans="1:16">
      <c r="A16" s="19">
        <v>5</v>
      </c>
      <c r="B16" s="20" t="s">
        <v>829</v>
      </c>
      <c r="C16" s="20">
        <v>1441</v>
      </c>
      <c r="D16" s="20">
        <v>114759</v>
      </c>
      <c r="E16" s="20">
        <v>240</v>
      </c>
      <c r="F16" s="98">
        <f t="shared" si="0"/>
        <v>27542160</v>
      </c>
      <c r="G16" s="20">
        <v>1296</v>
      </c>
      <c r="H16" s="573">
        <v>30807511.5</v>
      </c>
      <c r="I16" s="28">
        <v>237</v>
      </c>
      <c r="J16" s="573">
        <f t="shared" si="1"/>
        <v>129989.5</v>
      </c>
    </row>
    <row r="17" spans="1:10">
      <c r="A17" s="19">
        <v>6</v>
      </c>
      <c r="B17" s="20" t="s">
        <v>830</v>
      </c>
      <c r="C17" s="20">
        <v>762</v>
      </c>
      <c r="D17" s="20">
        <v>37930</v>
      </c>
      <c r="E17" s="20">
        <v>240</v>
      </c>
      <c r="F17" s="98">
        <f t="shared" si="0"/>
        <v>9103200</v>
      </c>
      <c r="G17" s="20">
        <v>748</v>
      </c>
      <c r="H17" s="573">
        <v>8966598.75</v>
      </c>
      <c r="I17" s="28">
        <v>237</v>
      </c>
      <c r="J17" s="573">
        <f t="shared" si="1"/>
        <v>37833.75</v>
      </c>
    </row>
    <row r="18" spans="1:10">
      <c r="A18" s="19">
        <v>7</v>
      </c>
      <c r="B18" s="20" t="s">
        <v>831</v>
      </c>
      <c r="C18" s="20">
        <v>451</v>
      </c>
      <c r="D18" s="20">
        <v>47829</v>
      </c>
      <c r="E18" s="20">
        <v>240</v>
      </c>
      <c r="F18" s="98">
        <f t="shared" si="0"/>
        <v>11478960</v>
      </c>
      <c r="G18" s="20">
        <v>450</v>
      </c>
      <c r="H18" s="573">
        <v>6713736</v>
      </c>
      <c r="I18" s="28">
        <v>237</v>
      </c>
      <c r="J18" s="573">
        <f t="shared" si="1"/>
        <v>28328</v>
      </c>
    </row>
    <row r="19" spans="1:10">
      <c r="A19" s="19">
        <v>8</v>
      </c>
      <c r="B19" s="20" t="s">
        <v>832</v>
      </c>
      <c r="C19" s="20">
        <v>887</v>
      </c>
      <c r="D19" s="20">
        <v>77896</v>
      </c>
      <c r="E19" s="20">
        <v>240</v>
      </c>
      <c r="F19" s="98">
        <f t="shared" si="0"/>
        <v>18695040</v>
      </c>
      <c r="G19" s="20">
        <v>791</v>
      </c>
      <c r="H19" s="573">
        <v>18247044.75</v>
      </c>
      <c r="I19" s="28">
        <v>237</v>
      </c>
      <c r="J19" s="573">
        <f t="shared" si="1"/>
        <v>76991.75</v>
      </c>
    </row>
    <row r="20" spans="1:10">
      <c r="A20" s="19">
        <v>9</v>
      </c>
      <c r="B20" s="20" t="s">
        <v>833</v>
      </c>
      <c r="C20" s="20">
        <v>1579</v>
      </c>
      <c r="D20" s="20">
        <v>69914</v>
      </c>
      <c r="E20" s="20">
        <v>240</v>
      </c>
      <c r="F20" s="98">
        <f t="shared" si="0"/>
        <v>16779360</v>
      </c>
      <c r="G20" s="20">
        <v>1565</v>
      </c>
      <c r="H20" s="573">
        <v>18739056.75</v>
      </c>
      <c r="I20" s="28">
        <v>237</v>
      </c>
      <c r="J20" s="573">
        <f t="shared" si="1"/>
        <v>79067.75</v>
      </c>
    </row>
    <row r="21" spans="1:10">
      <c r="A21" s="19">
        <v>10</v>
      </c>
      <c r="B21" s="20" t="s">
        <v>834</v>
      </c>
      <c r="C21" s="20">
        <v>177</v>
      </c>
      <c r="D21" s="20">
        <v>12863</v>
      </c>
      <c r="E21" s="20">
        <v>240</v>
      </c>
      <c r="F21" s="98">
        <f t="shared" si="0"/>
        <v>3087120</v>
      </c>
      <c r="G21" s="20">
        <v>178</v>
      </c>
      <c r="H21" s="573">
        <v>3441536.25</v>
      </c>
      <c r="I21" s="28">
        <v>237</v>
      </c>
      <c r="J21" s="573">
        <f t="shared" si="1"/>
        <v>14521.25</v>
      </c>
    </row>
    <row r="22" spans="1:10">
      <c r="A22" s="19">
        <v>11</v>
      </c>
      <c r="B22" s="20" t="s">
        <v>835</v>
      </c>
      <c r="C22" s="20">
        <v>609</v>
      </c>
      <c r="D22" s="20">
        <v>36998</v>
      </c>
      <c r="E22" s="20">
        <v>240</v>
      </c>
      <c r="F22" s="98">
        <f t="shared" si="0"/>
        <v>8879520</v>
      </c>
      <c r="G22" s="20">
        <v>502</v>
      </c>
      <c r="H22" s="573">
        <v>9258938.25</v>
      </c>
      <c r="I22" s="28">
        <v>237</v>
      </c>
      <c r="J22" s="573">
        <f t="shared" si="1"/>
        <v>39067.25</v>
      </c>
    </row>
    <row r="23" spans="1:10">
      <c r="A23" s="19">
        <v>12</v>
      </c>
      <c r="B23" s="20" t="s">
        <v>836</v>
      </c>
      <c r="C23" s="20">
        <v>877</v>
      </c>
      <c r="D23" s="20">
        <v>70601</v>
      </c>
      <c r="E23" s="20">
        <v>240</v>
      </c>
      <c r="F23" s="98">
        <f t="shared" si="0"/>
        <v>16944240</v>
      </c>
      <c r="G23" s="20">
        <v>841</v>
      </c>
      <c r="H23" s="573">
        <v>17773578</v>
      </c>
      <c r="I23" s="28">
        <v>237</v>
      </c>
      <c r="J23" s="573">
        <f t="shared" si="1"/>
        <v>74994</v>
      </c>
    </row>
    <row r="24" spans="1:10">
      <c r="A24" s="19">
        <v>13</v>
      </c>
      <c r="B24" s="20" t="s">
        <v>837</v>
      </c>
      <c r="C24" s="20">
        <v>974</v>
      </c>
      <c r="D24" s="20">
        <v>101703</v>
      </c>
      <c r="E24" s="20">
        <v>240</v>
      </c>
      <c r="F24" s="98">
        <f t="shared" si="0"/>
        <v>24408720</v>
      </c>
      <c r="G24" s="20">
        <v>945</v>
      </c>
      <c r="H24" s="573">
        <v>23730987.75</v>
      </c>
      <c r="I24" s="28">
        <v>237</v>
      </c>
      <c r="J24" s="573">
        <f t="shared" si="1"/>
        <v>100130.75</v>
      </c>
    </row>
    <row r="25" spans="1:10">
      <c r="A25" s="19">
        <v>14</v>
      </c>
      <c r="B25" s="20" t="s">
        <v>838</v>
      </c>
      <c r="C25" s="20">
        <v>787</v>
      </c>
      <c r="D25" s="20">
        <v>26326</v>
      </c>
      <c r="E25" s="20">
        <v>240</v>
      </c>
      <c r="F25" s="98">
        <f t="shared" si="0"/>
        <v>6318240</v>
      </c>
      <c r="G25" s="20">
        <v>770</v>
      </c>
      <c r="H25" s="573">
        <v>7845766.5</v>
      </c>
      <c r="I25" s="28">
        <v>237</v>
      </c>
      <c r="J25" s="573">
        <f t="shared" si="1"/>
        <v>33104.5</v>
      </c>
    </row>
    <row r="26" spans="1:10">
      <c r="A26" s="19">
        <v>15</v>
      </c>
      <c r="B26" s="20" t="s">
        <v>839</v>
      </c>
      <c r="C26" s="20">
        <v>747</v>
      </c>
      <c r="D26" s="20">
        <v>52749</v>
      </c>
      <c r="E26" s="20">
        <v>240</v>
      </c>
      <c r="F26" s="98">
        <f t="shared" si="0"/>
        <v>12659760</v>
      </c>
      <c r="G26" s="20">
        <v>713</v>
      </c>
      <c r="H26" s="573">
        <v>6429039.75</v>
      </c>
      <c r="I26" s="28">
        <v>237</v>
      </c>
      <c r="J26" s="573">
        <f t="shared" si="1"/>
        <v>27126.75</v>
      </c>
    </row>
    <row r="27" spans="1:10">
      <c r="A27" s="19">
        <v>16</v>
      </c>
      <c r="B27" s="20" t="s">
        <v>840</v>
      </c>
      <c r="C27" s="20">
        <v>319</v>
      </c>
      <c r="D27" s="20">
        <v>11115</v>
      </c>
      <c r="E27" s="20">
        <v>240</v>
      </c>
      <c r="F27" s="98">
        <f t="shared" si="0"/>
        <v>2667600</v>
      </c>
      <c r="G27" s="20">
        <v>250</v>
      </c>
      <c r="H27" s="573">
        <v>4443039</v>
      </c>
      <c r="I27" s="28">
        <v>237</v>
      </c>
      <c r="J27" s="573">
        <f t="shared" si="1"/>
        <v>18747</v>
      </c>
    </row>
    <row r="28" spans="1:10">
      <c r="A28" s="19">
        <v>17</v>
      </c>
      <c r="B28" s="20" t="s">
        <v>841</v>
      </c>
      <c r="C28" s="20">
        <v>981</v>
      </c>
      <c r="D28" s="20">
        <v>63463</v>
      </c>
      <c r="E28" s="20">
        <v>240</v>
      </c>
      <c r="F28" s="98">
        <f t="shared" si="0"/>
        <v>15231120</v>
      </c>
      <c r="G28" s="20">
        <v>956</v>
      </c>
      <c r="H28" s="573">
        <v>18064614</v>
      </c>
      <c r="I28" s="28">
        <v>237</v>
      </c>
      <c r="J28" s="573">
        <f t="shared" si="1"/>
        <v>76222</v>
      </c>
    </row>
    <row r="29" spans="1:10">
      <c r="A29" s="19">
        <v>18</v>
      </c>
      <c r="B29" s="20" t="s">
        <v>842</v>
      </c>
      <c r="C29" s="20">
        <v>720</v>
      </c>
      <c r="D29" s="20">
        <v>48235</v>
      </c>
      <c r="E29" s="20">
        <v>240</v>
      </c>
      <c r="F29" s="98">
        <f t="shared" si="0"/>
        <v>11576400</v>
      </c>
      <c r="G29" s="20">
        <v>683</v>
      </c>
      <c r="H29" s="573">
        <v>13936725.75</v>
      </c>
      <c r="I29" s="28">
        <v>237</v>
      </c>
      <c r="J29" s="573">
        <f t="shared" si="1"/>
        <v>58804.75</v>
      </c>
    </row>
    <row r="30" spans="1:10">
      <c r="A30" s="19">
        <v>19</v>
      </c>
      <c r="B30" s="20" t="s">
        <v>843</v>
      </c>
      <c r="C30" s="20">
        <v>1006</v>
      </c>
      <c r="D30" s="20">
        <v>45131</v>
      </c>
      <c r="E30" s="20">
        <v>240</v>
      </c>
      <c r="F30" s="98">
        <f t="shared" si="0"/>
        <v>10831440</v>
      </c>
      <c r="G30" s="20">
        <v>994</v>
      </c>
      <c r="H30" s="573">
        <v>11944859.25</v>
      </c>
      <c r="I30" s="28">
        <v>237</v>
      </c>
      <c r="J30" s="573">
        <f t="shared" si="1"/>
        <v>50400.25</v>
      </c>
    </row>
    <row r="31" spans="1:10">
      <c r="A31" s="19">
        <v>20</v>
      </c>
      <c r="B31" s="20" t="s">
        <v>844</v>
      </c>
      <c r="C31" s="20">
        <v>963</v>
      </c>
      <c r="D31" s="20">
        <v>54914</v>
      </c>
      <c r="E31" s="20">
        <v>240</v>
      </c>
      <c r="F31" s="98">
        <f t="shared" si="0"/>
        <v>13179360</v>
      </c>
      <c r="G31" s="20">
        <v>881</v>
      </c>
      <c r="H31" s="573">
        <v>14255135.25</v>
      </c>
      <c r="I31" s="28">
        <v>237</v>
      </c>
      <c r="J31" s="573">
        <f t="shared" si="1"/>
        <v>60148.25</v>
      </c>
    </row>
    <row r="32" spans="1:10" ht="15.75" customHeight="1">
      <c r="A32" s="19">
        <v>21</v>
      </c>
      <c r="B32" s="20" t="s">
        <v>845</v>
      </c>
      <c r="C32" s="20">
        <v>887</v>
      </c>
      <c r="D32" s="20">
        <v>73831</v>
      </c>
      <c r="E32" s="20">
        <v>240</v>
      </c>
      <c r="F32" s="98">
        <f t="shared" si="0"/>
        <v>17719440</v>
      </c>
      <c r="G32" s="20">
        <v>808</v>
      </c>
      <c r="H32" s="573">
        <v>18008741.25</v>
      </c>
      <c r="I32" s="28">
        <v>237</v>
      </c>
      <c r="J32" s="573">
        <f t="shared" si="1"/>
        <v>75986.25</v>
      </c>
    </row>
    <row r="33" spans="1:10" ht="12.75" customHeight="1">
      <c r="A33" s="19">
        <v>22</v>
      </c>
      <c r="B33" s="20" t="s">
        <v>846</v>
      </c>
      <c r="C33" s="20">
        <v>899</v>
      </c>
      <c r="D33" s="20">
        <v>44413</v>
      </c>
      <c r="E33" s="20">
        <v>240</v>
      </c>
      <c r="F33" s="98">
        <f t="shared" si="0"/>
        <v>10659120</v>
      </c>
      <c r="G33" s="20">
        <v>839</v>
      </c>
      <c r="H33" s="573">
        <v>11046866.25</v>
      </c>
      <c r="I33" s="28">
        <v>237</v>
      </c>
      <c r="J33" s="573">
        <f t="shared" si="1"/>
        <v>46611.25</v>
      </c>
    </row>
    <row r="34" spans="1:10" ht="12.75" customHeight="1">
      <c r="A34" s="19">
        <v>23</v>
      </c>
      <c r="B34" s="20" t="s">
        <v>847</v>
      </c>
      <c r="C34" s="20">
        <v>654</v>
      </c>
      <c r="D34" s="20">
        <v>67837</v>
      </c>
      <c r="E34" s="20">
        <v>240</v>
      </c>
      <c r="F34" s="98">
        <f t="shared" si="0"/>
        <v>16280880</v>
      </c>
      <c r="G34" s="20">
        <v>601</v>
      </c>
      <c r="H34" s="573">
        <v>15840132</v>
      </c>
      <c r="I34" s="28">
        <v>237</v>
      </c>
      <c r="J34" s="573">
        <f t="shared" si="1"/>
        <v>66836</v>
      </c>
    </row>
    <row r="35" spans="1:10">
      <c r="A35" s="19">
        <v>24</v>
      </c>
      <c r="B35" s="20" t="s">
        <v>848</v>
      </c>
      <c r="C35" s="20">
        <v>576</v>
      </c>
      <c r="D35" s="20">
        <v>44616</v>
      </c>
      <c r="E35" s="20">
        <v>240</v>
      </c>
      <c r="F35" s="98">
        <f t="shared" si="0"/>
        <v>10707840</v>
      </c>
      <c r="G35" s="20">
        <v>474</v>
      </c>
      <c r="H35" s="573">
        <v>10441331.25</v>
      </c>
      <c r="I35" s="28">
        <v>237</v>
      </c>
      <c r="J35" s="573">
        <f t="shared" si="1"/>
        <v>44056.25</v>
      </c>
    </row>
    <row r="36" spans="1:10">
      <c r="A36" s="19">
        <v>25</v>
      </c>
      <c r="B36" s="20" t="s">
        <v>849</v>
      </c>
      <c r="C36" s="20">
        <v>500</v>
      </c>
      <c r="D36" s="20">
        <v>24062</v>
      </c>
      <c r="E36" s="20">
        <v>240</v>
      </c>
      <c r="F36" s="98">
        <f t="shared" si="0"/>
        <v>5774880</v>
      </c>
      <c r="G36" s="20">
        <v>500</v>
      </c>
      <c r="H36" s="573">
        <v>6194469</v>
      </c>
      <c r="I36" s="28">
        <v>237</v>
      </c>
      <c r="J36" s="573">
        <f t="shared" si="1"/>
        <v>26137</v>
      </c>
    </row>
    <row r="37" spans="1:10">
      <c r="A37" s="19">
        <v>26</v>
      </c>
      <c r="B37" s="20" t="s">
        <v>850</v>
      </c>
      <c r="C37" s="20">
        <v>347</v>
      </c>
      <c r="D37" s="20">
        <v>27911</v>
      </c>
      <c r="E37" s="20">
        <v>240</v>
      </c>
      <c r="F37" s="98">
        <f t="shared" si="0"/>
        <v>6698640</v>
      </c>
      <c r="G37" s="20">
        <v>332</v>
      </c>
      <c r="H37" s="573">
        <v>6468559.5</v>
      </c>
      <c r="I37" s="28">
        <v>237</v>
      </c>
      <c r="J37" s="573">
        <f t="shared" si="1"/>
        <v>27293.5</v>
      </c>
    </row>
    <row r="38" spans="1:10">
      <c r="A38" s="19">
        <v>27</v>
      </c>
      <c r="B38" s="20" t="s">
        <v>851</v>
      </c>
      <c r="C38" s="20">
        <v>732</v>
      </c>
      <c r="D38" s="20">
        <v>32935</v>
      </c>
      <c r="E38" s="20">
        <v>240</v>
      </c>
      <c r="F38" s="98">
        <f t="shared" si="0"/>
        <v>7904400</v>
      </c>
      <c r="G38" s="20">
        <v>729</v>
      </c>
      <c r="H38" s="573">
        <v>14296551</v>
      </c>
      <c r="I38" s="28">
        <v>237</v>
      </c>
      <c r="J38" s="573">
        <f t="shared" si="1"/>
        <v>60323</v>
      </c>
    </row>
    <row r="39" spans="1:10">
      <c r="A39" s="19">
        <v>28</v>
      </c>
      <c r="B39" s="20" t="s">
        <v>852</v>
      </c>
      <c r="C39" s="20">
        <v>240</v>
      </c>
      <c r="D39" s="20">
        <v>18984</v>
      </c>
      <c r="E39" s="20">
        <v>240</v>
      </c>
      <c r="F39" s="98">
        <f t="shared" si="0"/>
        <v>4556160</v>
      </c>
      <c r="G39" s="20">
        <v>244</v>
      </c>
      <c r="H39" s="573">
        <v>5590000.5</v>
      </c>
      <c r="I39" s="28">
        <v>237</v>
      </c>
      <c r="J39" s="573">
        <f t="shared" si="1"/>
        <v>23586.5</v>
      </c>
    </row>
    <row r="40" spans="1:10">
      <c r="A40" s="19">
        <v>29</v>
      </c>
      <c r="B40" s="20" t="s">
        <v>1041</v>
      </c>
      <c r="C40" s="20">
        <v>479</v>
      </c>
      <c r="D40" s="20">
        <v>39235</v>
      </c>
      <c r="E40" s="20">
        <v>240</v>
      </c>
      <c r="F40" s="98">
        <f t="shared" si="0"/>
        <v>9416400</v>
      </c>
      <c r="G40" s="20">
        <v>474</v>
      </c>
      <c r="H40" s="573">
        <v>9288030</v>
      </c>
      <c r="I40" s="28">
        <v>237</v>
      </c>
      <c r="J40" s="573">
        <f t="shared" si="1"/>
        <v>39190</v>
      </c>
    </row>
    <row r="41" spans="1:10">
      <c r="A41" s="19">
        <v>30</v>
      </c>
      <c r="B41" s="20" t="s">
        <v>1042</v>
      </c>
      <c r="C41" s="20">
        <v>551</v>
      </c>
      <c r="D41" s="20">
        <v>20096</v>
      </c>
      <c r="E41" s="20">
        <v>240</v>
      </c>
      <c r="F41" s="98">
        <f t="shared" si="0"/>
        <v>4823040</v>
      </c>
      <c r="G41" s="20">
        <v>553</v>
      </c>
      <c r="H41" s="573">
        <v>4394809.5</v>
      </c>
      <c r="I41" s="28">
        <v>237</v>
      </c>
      <c r="J41" s="573">
        <f t="shared" si="1"/>
        <v>18543.5</v>
      </c>
    </row>
    <row r="42" spans="1:10">
      <c r="A42" s="19">
        <v>31</v>
      </c>
      <c r="B42" s="20" t="s">
        <v>1043</v>
      </c>
      <c r="C42" s="20">
        <v>456</v>
      </c>
      <c r="D42" s="20">
        <v>33443</v>
      </c>
      <c r="E42" s="20">
        <v>240</v>
      </c>
      <c r="F42" s="98">
        <f t="shared" si="0"/>
        <v>8026320</v>
      </c>
      <c r="G42" s="20">
        <v>535</v>
      </c>
      <c r="H42" s="573">
        <v>8528622.75</v>
      </c>
      <c r="I42" s="28">
        <v>237</v>
      </c>
      <c r="J42" s="573">
        <f t="shared" si="1"/>
        <v>35985.75</v>
      </c>
    </row>
    <row r="43" spans="1:10">
      <c r="A43" s="19">
        <v>32</v>
      </c>
      <c r="B43" s="20" t="s">
        <v>1044</v>
      </c>
      <c r="C43" s="20">
        <v>564</v>
      </c>
      <c r="D43" s="20">
        <v>49931</v>
      </c>
      <c r="E43" s="20">
        <v>240</v>
      </c>
      <c r="F43" s="98">
        <f t="shared" si="0"/>
        <v>11983440</v>
      </c>
      <c r="G43" s="20">
        <v>544</v>
      </c>
      <c r="H43" s="573">
        <v>10336458.75</v>
      </c>
      <c r="I43" s="28">
        <v>237</v>
      </c>
      <c r="J43" s="573">
        <f t="shared" si="1"/>
        <v>43613.75</v>
      </c>
    </row>
    <row r="44" spans="1:10">
      <c r="A44" s="19">
        <v>33</v>
      </c>
      <c r="B44" s="20" t="s">
        <v>857</v>
      </c>
      <c r="C44" s="20">
        <v>609</v>
      </c>
      <c r="D44" s="20">
        <v>21524</v>
      </c>
      <c r="E44" s="20">
        <v>240</v>
      </c>
      <c r="F44" s="98">
        <f t="shared" si="0"/>
        <v>5165760</v>
      </c>
      <c r="G44" s="20">
        <v>568</v>
      </c>
      <c r="H44" s="573">
        <v>5979273</v>
      </c>
      <c r="I44" s="28">
        <v>237</v>
      </c>
      <c r="J44" s="573">
        <f t="shared" si="1"/>
        <v>25229</v>
      </c>
    </row>
    <row r="45" spans="1:10">
      <c r="A45" s="3" t="s">
        <v>18</v>
      </c>
      <c r="B45" s="29"/>
      <c r="C45" s="29">
        <f>SUM(C12:C44)</f>
        <v>24179</v>
      </c>
      <c r="D45" s="29">
        <f t="shared" ref="D45:J45" si="2">SUM(D12:D44)</f>
        <v>1637386</v>
      </c>
      <c r="E45" s="29">
        <v>240</v>
      </c>
      <c r="F45" s="29">
        <f t="shared" si="2"/>
        <v>392972640</v>
      </c>
      <c r="G45" s="29">
        <f t="shared" si="2"/>
        <v>22887</v>
      </c>
      <c r="H45" s="576">
        <f t="shared" si="2"/>
        <v>408679837.5</v>
      </c>
      <c r="I45" s="596">
        <v>237</v>
      </c>
      <c r="J45" s="576">
        <f t="shared" si="2"/>
        <v>1724387.5</v>
      </c>
    </row>
    <row r="46" spans="1:10">
      <c r="A46" s="12"/>
      <c r="B46" s="30"/>
      <c r="C46" s="30"/>
      <c r="D46" s="23"/>
      <c r="E46" s="23"/>
      <c r="F46" s="23"/>
      <c r="G46" s="23"/>
      <c r="H46" s="23"/>
      <c r="I46" s="23"/>
      <c r="J46" s="23"/>
    </row>
    <row r="47" spans="1:10">
      <c r="A47" s="12"/>
      <c r="B47" s="30"/>
      <c r="C47" s="30"/>
      <c r="D47" s="23"/>
      <c r="E47" s="23"/>
      <c r="F47" s="23"/>
      <c r="G47" s="23"/>
      <c r="H47" s="23"/>
      <c r="I47" s="23"/>
      <c r="J47" s="23"/>
    </row>
    <row r="48" spans="1:10">
      <c r="A48" s="12"/>
      <c r="B48" s="30"/>
      <c r="C48" s="30"/>
      <c r="D48" s="23"/>
      <c r="E48" s="23"/>
      <c r="F48" s="23"/>
      <c r="G48" s="23"/>
      <c r="H48" s="23"/>
      <c r="I48" s="23"/>
      <c r="J48" s="23"/>
    </row>
    <row r="49" spans="1:10">
      <c r="A49" s="15" t="s">
        <v>12</v>
      </c>
      <c r="B49" s="15"/>
      <c r="C49" s="15"/>
      <c r="D49" s="15"/>
      <c r="E49" s="15"/>
      <c r="F49" s="15"/>
      <c r="G49" s="15"/>
      <c r="I49" s="1202"/>
      <c r="J49" s="1202"/>
    </row>
    <row r="50" spans="1:10" ht="15.75">
      <c r="H50" s="1040" t="s">
        <v>1106</v>
      </c>
      <c r="I50" s="1040"/>
      <c r="J50" s="1040"/>
    </row>
    <row r="51" spans="1:10" ht="15.75">
      <c r="H51" s="1040" t="s">
        <v>481</v>
      </c>
      <c r="I51" s="1040"/>
      <c r="J51" s="1040"/>
    </row>
    <row r="52" spans="1:10" ht="15.75">
      <c r="H52" s="1040" t="s">
        <v>1107</v>
      </c>
      <c r="I52" s="1040"/>
      <c r="J52" s="1040"/>
    </row>
    <row r="53" spans="1:10">
      <c r="A53" s="1201"/>
      <c r="B53" s="1201"/>
      <c r="C53" s="1201"/>
      <c r="D53" s="1201"/>
      <c r="E53" s="1201"/>
      <c r="F53" s="1201"/>
      <c r="G53" s="1201"/>
      <c r="H53" s="1201"/>
      <c r="I53" s="1201"/>
      <c r="J53" s="1201"/>
    </row>
    <row r="55" spans="1:10">
      <c r="A55" s="1201"/>
      <c r="B55" s="1201"/>
      <c r="C55" s="1201"/>
      <c r="D55" s="1201"/>
      <c r="E55" s="1201"/>
      <c r="F55" s="1201"/>
      <c r="G55" s="1201"/>
      <c r="H55" s="1201"/>
      <c r="I55" s="1201"/>
      <c r="J55" s="1201"/>
    </row>
  </sheetData>
  <mergeCells count="16">
    <mergeCell ref="A55:J55"/>
    <mergeCell ref="I49:J49"/>
    <mergeCell ref="A53:J53"/>
    <mergeCell ref="H50:J50"/>
    <mergeCell ref="H51:J51"/>
    <mergeCell ref="H52:J52"/>
    <mergeCell ref="A9:A10"/>
    <mergeCell ref="B9:B10"/>
    <mergeCell ref="C9:F9"/>
    <mergeCell ref="G9:J9"/>
    <mergeCell ref="E1:I1"/>
    <mergeCell ref="A2:J2"/>
    <mergeCell ref="A3:J3"/>
    <mergeCell ref="A5:J5"/>
    <mergeCell ref="A8:B8"/>
    <mergeCell ref="H8:J8"/>
  </mergeCells>
  <printOptions horizontalCentered="1"/>
  <pageMargins left="0.70866141732283472" right="0.70866141732283472" top="0.63" bottom="0" header="0.79"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8"/>
  <sheetViews>
    <sheetView topLeftCell="A19" zoomScaleSheetLayoutView="90" workbookViewId="0">
      <selection activeCell="E13" sqref="E13"/>
    </sheetView>
  </sheetViews>
  <sheetFormatPr defaultColWidth="9.28515625" defaultRowHeight="12.75"/>
  <cols>
    <col min="1" max="1" width="7.42578125" style="16" customWidth="1"/>
    <col min="2" max="2" width="17.28515625" style="16" customWidth="1"/>
    <col min="3" max="3" width="11" style="16" customWidth="1"/>
    <col min="4" max="4" width="10" style="16" customWidth="1"/>
    <col min="5" max="5" width="13.28515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28515625" style="16"/>
  </cols>
  <sheetData>
    <row r="1" spans="1:16" customFormat="1">
      <c r="E1" s="1114"/>
      <c r="F1" s="1114"/>
      <c r="G1" s="1114"/>
      <c r="H1" s="1114"/>
      <c r="I1" s="1114"/>
      <c r="J1" s="126" t="s">
        <v>362</v>
      </c>
    </row>
    <row r="2" spans="1:16" customFormat="1" ht="15">
      <c r="A2" s="1190" t="s">
        <v>0</v>
      </c>
      <c r="B2" s="1190"/>
      <c r="C2" s="1190"/>
      <c r="D2" s="1190"/>
      <c r="E2" s="1190"/>
      <c r="F2" s="1190"/>
      <c r="G2" s="1190"/>
      <c r="H2" s="1190"/>
      <c r="I2" s="1190"/>
      <c r="J2" s="1190"/>
    </row>
    <row r="3" spans="1:16" customFormat="1" ht="20.25">
      <c r="A3" s="1112" t="s">
        <v>636</v>
      </c>
      <c r="B3" s="1112"/>
      <c r="C3" s="1112"/>
      <c r="D3" s="1112"/>
      <c r="E3" s="1112"/>
      <c r="F3" s="1112"/>
      <c r="G3" s="1112"/>
      <c r="H3" s="1112"/>
      <c r="I3" s="1112"/>
      <c r="J3" s="1112"/>
    </row>
    <row r="4" spans="1:16" customFormat="1" ht="14.25" customHeight="1"/>
    <row r="5" spans="1:16" ht="19.5" customHeight="1">
      <c r="A5" s="1191" t="s">
        <v>674</v>
      </c>
      <c r="B5" s="1191"/>
      <c r="C5" s="1191"/>
      <c r="D5" s="1191"/>
      <c r="E5" s="1191"/>
      <c r="F5" s="1191"/>
      <c r="G5" s="1191"/>
      <c r="H5" s="1191"/>
      <c r="I5" s="1191"/>
      <c r="J5" s="1191"/>
    </row>
    <row r="6" spans="1:16" ht="13.5" customHeight="1">
      <c r="A6" s="1"/>
      <c r="B6" s="1"/>
      <c r="C6" s="1"/>
      <c r="D6" s="1"/>
      <c r="E6" s="1"/>
      <c r="F6" s="1"/>
      <c r="G6" s="1"/>
      <c r="H6" s="1"/>
      <c r="I6" s="1"/>
      <c r="J6" s="1"/>
    </row>
    <row r="7" spans="1:16" ht="0.75" customHeight="1"/>
    <row r="8" spans="1:16">
      <c r="A8" s="1092" t="s">
        <v>1047</v>
      </c>
      <c r="B8" s="1092"/>
      <c r="C8" s="31"/>
      <c r="H8" s="1179" t="s">
        <v>793</v>
      </c>
      <c r="I8" s="1179"/>
      <c r="J8" s="1179"/>
    </row>
    <row r="9" spans="1:16">
      <c r="A9" s="1083" t="s">
        <v>2</v>
      </c>
      <c r="B9" s="1083" t="s">
        <v>3</v>
      </c>
      <c r="C9" s="1070" t="s">
        <v>648</v>
      </c>
      <c r="D9" s="1183"/>
      <c r="E9" s="1183"/>
      <c r="F9" s="1071"/>
      <c r="G9" s="1070" t="s">
        <v>102</v>
      </c>
      <c r="H9" s="1183"/>
      <c r="I9" s="1183"/>
      <c r="J9" s="1071"/>
      <c r="O9" s="23"/>
      <c r="P9" s="23"/>
    </row>
    <row r="10" spans="1:16" ht="77.45" customHeight="1">
      <c r="A10" s="1083"/>
      <c r="B10" s="1083"/>
      <c r="C10" s="5" t="s">
        <v>186</v>
      </c>
      <c r="D10" s="5" t="s">
        <v>16</v>
      </c>
      <c r="E10" s="213" t="s">
        <v>1046</v>
      </c>
      <c r="F10" s="7" t="s">
        <v>204</v>
      </c>
      <c r="G10" s="5" t="s">
        <v>186</v>
      </c>
      <c r="H10" s="25" t="s">
        <v>17</v>
      </c>
      <c r="I10" s="99" t="s">
        <v>112</v>
      </c>
      <c r="J10" s="5" t="s">
        <v>205</v>
      </c>
    </row>
    <row r="11" spans="1:16">
      <c r="A11" s="5">
        <v>1</v>
      </c>
      <c r="B11" s="5">
        <v>2</v>
      </c>
      <c r="C11" s="5">
        <v>3</v>
      </c>
      <c r="D11" s="5">
        <v>4</v>
      </c>
      <c r="E11" s="5">
        <v>5</v>
      </c>
      <c r="F11" s="7">
        <v>6</v>
      </c>
      <c r="G11" s="5">
        <v>7</v>
      </c>
      <c r="H11" s="96">
        <v>8</v>
      </c>
      <c r="I11" s="5">
        <v>9</v>
      </c>
      <c r="J11" s="5">
        <v>10</v>
      </c>
    </row>
    <row r="12" spans="1:16">
      <c r="A12" s="19">
        <v>1</v>
      </c>
      <c r="B12" s="20"/>
      <c r="C12" s="20"/>
      <c r="D12" s="20"/>
      <c r="E12" s="20"/>
      <c r="F12" s="98"/>
      <c r="G12" s="20"/>
      <c r="H12" s="28"/>
      <c r="I12" s="28"/>
      <c r="J12" s="28"/>
    </row>
    <row r="13" spans="1:16">
      <c r="A13" s="19">
        <v>2</v>
      </c>
      <c r="B13" s="20"/>
      <c r="C13" s="20"/>
      <c r="D13" s="20"/>
      <c r="E13" s="20"/>
      <c r="F13" s="27"/>
      <c r="G13" s="20"/>
      <c r="H13" s="28"/>
      <c r="I13" s="28"/>
      <c r="J13" s="28"/>
    </row>
    <row r="14" spans="1:16">
      <c r="A14" s="19">
        <v>3</v>
      </c>
      <c r="B14" s="20"/>
      <c r="C14" s="20"/>
      <c r="D14" s="20"/>
      <c r="E14" s="20" t="s">
        <v>11</v>
      </c>
      <c r="F14" s="27"/>
      <c r="G14" s="20"/>
      <c r="H14" s="28"/>
      <c r="I14" s="28"/>
      <c r="J14" s="28"/>
    </row>
    <row r="15" spans="1:16">
      <c r="A15" s="19">
        <v>4</v>
      </c>
      <c r="B15" s="20"/>
      <c r="C15" s="20"/>
      <c r="D15" s="20"/>
      <c r="E15" s="20"/>
      <c r="F15" s="27"/>
      <c r="G15" s="20"/>
      <c r="H15" s="28"/>
      <c r="I15" s="28"/>
      <c r="J15" s="28"/>
    </row>
    <row r="16" spans="1:16">
      <c r="A16" s="19">
        <v>5</v>
      </c>
      <c r="B16" s="20"/>
      <c r="C16" s="20"/>
      <c r="D16" s="20"/>
      <c r="E16" s="20"/>
      <c r="F16" s="27"/>
      <c r="G16" s="20"/>
      <c r="H16" s="28"/>
      <c r="I16" s="28"/>
      <c r="J16" s="28"/>
    </row>
    <row r="17" spans="1:10">
      <c r="A17" s="19">
        <v>6</v>
      </c>
      <c r="B17" s="20"/>
      <c r="C17" s="1203" t="s">
        <v>936</v>
      </c>
      <c r="D17" s="1204"/>
      <c r="E17" s="1204"/>
      <c r="F17" s="1204"/>
      <c r="G17" s="1204"/>
      <c r="H17" s="1204"/>
      <c r="I17" s="1204"/>
      <c r="J17" s="1205"/>
    </row>
    <row r="18" spans="1:10">
      <c r="A18" s="19">
        <v>7</v>
      </c>
      <c r="B18" s="20"/>
      <c r="C18" s="1206"/>
      <c r="D18" s="1207"/>
      <c r="E18" s="1207"/>
      <c r="F18" s="1207"/>
      <c r="G18" s="1207"/>
      <c r="H18" s="1207"/>
      <c r="I18" s="1207"/>
      <c r="J18" s="1208"/>
    </row>
    <row r="19" spans="1:10">
      <c r="A19" s="19">
        <v>8</v>
      </c>
      <c r="B19" s="20"/>
      <c r="C19" s="1206"/>
      <c r="D19" s="1207"/>
      <c r="E19" s="1207"/>
      <c r="F19" s="1207"/>
      <c r="G19" s="1207"/>
      <c r="H19" s="1207"/>
      <c r="I19" s="1207"/>
      <c r="J19" s="1208"/>
    </row>
    <row r="20" spans="1:10">
      <c r="A20" s="19">
        <v>9</v>
      </c>
      <c r="B20" s="20"/>
      <c r="C20" s="1206"/>
      <c r="D20" s="1207"/>
      <c r="E20" s="1207"/>
      <c r="F20" s="1207"/>
      <c r="G20" s="1207"/>
      <c r="H20" s="1207"/>
      <c r="I20" s="1207"/>
      <c r="J20" s="1208"/>
    </row>
    <row r="21" spans="1:10">
      <c r="A21" s="19">
        <v>10</v>
      </c>
      <c r="B21" s="20"/>
      <c r="C21" s="1206"/>
      <c r="D21" s="1207"/>
      <c r="E21" s="1207"/>
      <c r="F21" s="1207"/>
      <c r="G21" s="1207"/>
      <c r="H21" s="1207"/>
      <c r="I21" s="1207"/>
      <c r="J21" s="1208"/>
    </row>
    <row r="22" spans="1:10">
      <c r="A22" s="19">
        <v>11</v>
      </c>
      <c r="B22" s="20"/>
      <c r="C22" s="1206"/>
      <c r="D22" s="1207"/>
      <c r="E22" s="1207"/>
      <c r="F22" s="1207"/>
      <c r="G22" s="1207"/>
      <c r="H22" s="1207"/>
      <c r="I22" s="1207"/>
      <c r="J22" s="1208"/>
    </row>
    <row r="23" spans="1:10">
      <c r="A23" s="19">
        <v>12</v>
      </c>
      <c r="B23" s="20"/>
      <c r="C23" s="1209"/>
      <c r="D23" s="1210"/>
      <c r="E23" s="1210"/>
      <c r="F23" s="1210"/>
      <c r="G23" s="1210"/>
      <c r="H23" s="1210"/>
      <c r="I23" s="1210"/>
      <c r="J23" s="1211"/>
    </row>
    <row r="24" spans="1:10">
      <c r="A24" s="19">
        <v>13</v>
      </c>
      <c r="B24" s="20"/>
      <c r="C24" s="20"/>
      <c r="D24" s="20"/>
      <c r="E24" s="20"/>
      <c r="F24" s="27"/>
      <c r="G24" s="20"/>
      <c r="H24" s="28"/>
      <c r="I24" s="28"/>
      <c r="J24" s="28"/>
    </row>
    <row r="25" spans="1:10">
      <c r="A25" s="19">
        <v>14</v>
      </c>
      <c r="B25" s="20"/>
      <c r="C25" s="20"/>
      <c r="D25" s="20"/>
      <c r="E25" s="20"/>
      <c r="F25" s="27"/>
      <c r="G25" s="20"/>
      <c r="H25" s="28"/>
      <c r="I25" s="28"/>
      <c r="J25" s="28"/>
    </row>
    <row r="26" spans="1:10">
      <c r="A26" s="21" t="s">
        <v>7</v>
      </c>
      <c r="B26" s="20"/>
      <c r="C26" s="20"/>
      <c r="D26" s="20"/>
      <c r="E26" s="20"/>
      <c r="F26" s="27"/>
      <c r="G26" s="20"/>
      <c r="H26" s="28"/>
      <c r="I26" s="28"/>
      <c r="J26" s="28"/>
    </row>
    <row r="27" spans="1:10">
      <c r="A27" s="21" t="s">
        <v>7</v>
      </c>
      <c r="B27" s="20"/>
      <c r="C27" s="20"/>
      <c r="D27" s="20"/>
      <c r="E27" s="20"/>
      <c r="F27" s="27"/>
      <c r="G27" s="20"/>
      <c r="H27" s="28"/>
      <c r="I27" s="28"/>
      <c r="J27" s="28"/>
    </row>
    <row r="28" spans="1:10">
      <c r="A28" s="3" t="s">
        <v>18</v>
      </c>
      <c r="B28" s="29"/>
      <c r="C28" s="29"/>
      <c r="D28" s="20"/>
      <c r="E28" s="20"/>
      <c r="F28" s="27"/>
      <c r="G28" s="20"/>
      <c r="H28" s="28"/>
      <c r="I28" s="28"/>
      <c r="J28" s="28"/>
    </row>
    <row r="29" spans="1:10">
      <c r="A29" s="12"/>
      <c r="B29" s="30"/>
      <c r="C29" s="30"/>
      <c r="D29" s="23"/>
      <c r="E29" s="23"/>
      <c r="F29" s="23"/>
      <c r="G29" s="23"/>
      <c r="H29" s="23"/>
      <c r="I29" s="23"/>
      <c r="J29" s="23"/>
    </row>
    <row r="30" spans="1:10">
      <c r="A30" s="12"/>
      <c r="B30" s="30"/>
      <c r="C30" s="30"/>
      <c r="D30" s="23"/>
      <c r="E30" s="23"/>
      <c r="F30" s="23"/>
      <c r="G30" s="23"/>
      <c r="H30" s="23"/>
      <c r="I30" s="23"/>
      <c r="J30" s="23"/>
    </row>
    <row r="31" spans="1:10">
      <c r="A31" s="12"/>
      <c r="B31" s="30"/>
      <c r="C31" s="30"/>
      <c r="D31" s="23"/>
      <c r="E31" s="23"/>
      <c r="F31" s="23"/>
      <c r="G31" s="23"/>
      <c r="H31" s="23"/>
      <c r="I31" s="23"/>
      <c r="J31" s="23"/>
    </row>
    <row r="32" spans="1:10" ht="15.75" customHeight="1">
      <c r="A32" s="15" t="s">
        <v>12</v>
      </c>
      <c r="B32" s="15"/>
      <c r="C32" s="15"/>
      <c r="D32" s="15"/>
      <c r="E32" s="15"/>
      <c r="F32" s="15"/>
      <c r="G32" s="15"/>
      <c r="I32" s="1202"/>
      <c r="J32" s="1202"/>
    </row>
    <row r="33" spans="1:10" ht="15.75">
      <c r="H33" s="1040" t="s">
        <v>1106</v>
      </c>
      <c r="I33" s="1040"/>
      <c r="J33" s="1040"/>
    </row>
    <row r="34" spans="1:10" ht="15.75">
      <c r="H34" s="1040" t="s">
        <v>481</v>
      </c>
      <c r="I34" s="1040"/>
      <c r="J34" s="1040"/>
    </row>
    <row r="35" spans="1:10" ht="15.75">
      <c r="H35" s="1040" t="s">
        <v>1107</v>
      </c>
      <c r="I35" s="1040"/>
      <c r="J35" s="1040"/>
    </row>
    <row r="36" spans="1:10">
      <c r="A36" s="1201"/>
      <c r="B36" s="1201"/>
      <c r="C36" s="1201"/>
      <c r="D36" s="1201"/>
      <c r="E36" s="1201"/>
      <c r="F36" s="1201"/>
      <c r="G36" s="1201"/>
      <c r="H36" s="1201"/>
      <c r="I36" s="1201"/>
      <c r="J36" s="1201"/>
    </row>
    <row r="38" spans="1:10">
      <c r="A38" s="1201"/>
      <c r="B38" s="1201"/>
      <c r="C38" s="1201"/>
      <c r="D38" s="1201"/>
      <c r="E38" s="1201"/>
      <c r="F38" s="1201"/>
      <c r="G38" s="1201"/>
      <c r="H38" s="1201"/>
      <c r="I38" s="1201"/>
      <c r="J38" s="1201"/>
    </row>
  </sheetData>
  <mergeCells count="17">
    <mergeCell ref="E1:I1"/>
    <mergeCell ref="A2:J2"/>
    <mergeCell ref="A3:J3"/>
    <mergeCell ref="A5:J5"/>
    <mergeCell ref="A8:B8"/>
    <mergeCell ref="H8:J8"/>
    <mergeCell ref="A36:J36"/>
    <mergeCell ref="A38:J38"/>
    <mergeCell ref="A9:A10"/>
    <mergeCell ref="B9:B10"/>
    <mergeCell ref="C9:F9"/>
    <mergeCell ref="G9:J9"/>
    <mergeCell ref="I32:J32"/>
    <mergeCell ref="C17:J23"/>
    <mergeCell ref="H33:J33"/>
    <mergeCell ref="H34:J34"/>
    <mergeCell ref="H35:J35"/>
  </mergeCells>
  <printOptions horizontalCentered="1"/>
  <pageMargins left="0.70866141732283472" right="0.70866141732283472" top="0.63" bottom="0" header="0.79" footer="0.31496062992125984"/>
  <pageSetup paperSize="9" scale="97"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22"/>
  <sheetViews>
    <sheetView topLeftCell="A22" zoomScaleSheetLayoutView="90" workbookViewId="0">
      <selection activeCell="E13" sqref="E13"/>
    </sheetView>
  </sheetViews>
  <sheetFormatPr defaultColWidth="9.28515625" defaultRowHeight="12.75"/>
  <cols>
    <col min="1" max="1" width="7.42578125" style="16" customWidth="1"/>
    <col min="2" max="2" width="17.28515625" style="16" customWidth="1"/>
    <col min="3" max="3" width="11" style="16" customWidth="1"/>
    <col min="4" max="4" width="10" style="16" customWidth="1"/>
    <col min="5" max="5" width="13.28515625" style="16" customWidth="1"/>
    <col min="6" max="6" width="14.28515625" style="16" customWidth="1"/>
    <col min="7" max="7" width="13.28515625" style="16" customWidth="1"/>
    <col min="8" max="8" width="14.7109375" style="16" customWidth="1"/>
    <col min="9" max="9" width="16.7109375" style="16" customWidth="1"/>
    <col min="10" max="10" width="19.85546875" style="16" customWidth="1"/>
    <col min="11" max="16384" width="9.28515625" style="16"/>
  </cols>
  <sheetData>
    <row r="1" spans="1:16" customFormat="1">
      <c r="E1" s="1114"/>
      <c r="F1" s="1114"/>
      <c r="G1" s="1114"/>
      <c r="H1" s="1114"/>
      <c r="I1" s="1114"/>
      <c r="J1" s="126" t="s">
        <v>361</v>
      </c>
    </row>
    <row r="2" spans="1:16" customFormat="1" ht="15">
      <c r="A2" s="1190" t="s">
        <v>0</v>
      </c>
      <c r="B2" s="1190"/>
      <c r="C2" s="1190"/>
      <c r="D2" s="1190"/>
      <c r="E2" s="1190"/>
      <c r="F2" s="1190"/>
      <c r="G2" s="1190"/>
      <c r="H2" s="1190"/>
      <c r="I2" s="1190"/>
      <c r="J2" s="1190"/>
    </row>
    <row r="3" spans="1:16" customFormat="1" ht="20.25">
      <c r="A3" s="1112" t="s">
        <v>636</v>
      </c>
      <c r="B3" s="1112"/>
      <c r="C3" s="1112"/>
      <c r="D3" s="1112"/>
      <c r="E3" s="1112"/>
      <c r="F3" s="1112"/>
      <c r="G3" s="1112"/>
      <c r="H3" s="1112"/>
      <c r="I3" s="1112"/>
      <c r="J3" s="1112"/>
    </row>
    <row r="4" spans="1:16" customFormat="1" ht="14.25" customHeight="1"/>
    <row r="5" spans="1:16" ht="31.5" customHeight="1">
      <c r="A5" s="1191" t="s">
        <v>649</v>
      </c>
      <c r="B5" s="1191"/>
      <c r="C5" s="1191"/>
      <c r="D5" s="1191"/>
      <c r="E5" s="1191"/>
      <c r="F5" s="1191"/>
      <c r="G5" s="1191"/>
      <c r="H5" s="1191"/>
      <c r="I5" s="1191"/>
      <c r="J5" s="1191"/>
    </row>
    <row r="6" spans="1:16" ht="13.5" customHeight="1">
      <c r="A6" s="1"/>
      <c r="B6" s="1"/>
      <c r="C6" s="1"/>
      <c r="D6" s="1"/>
      <c r="E6" s="1"/>
      <c r="F6" s="1"/>
      <c r="G6" s="1"/>
      <c r="H6" s="1"/>
      <c r="I6" s="1"/>
      <c r="J6" s="1"/>
    </row>
    <row r="7" spans="1:16" ht="0.75" customHeight="1"/>
    <row r="8" spans="1:16">
      <c r="A8" s="1092" t="s">
        <v>824</v>
      </c>
      <c r="B8" s="1092"/>
      <c r="C8" s="31"/>
      <c r="H8" s="1194" t="s">
        <v>793</v>
      </c>
      <c r="I8" s="1194"/>
      <c r="J8" s="1194"/>
    </row>
    <row r="9" spans="1:16">
      <c r="A9" s="1083" t="s">
        <v>2</v>
      </c>
      <c r="B9" s="1083" t="s">
        <v>3</v>
      </c>
      <c r="C9" s="1070" t="s">
        <v>647</v>
      </c>
      <c r="D9" s="1183"/>
      <c r="E9" s="1183"/>
      <c r="F9" s="1071"/>
      <c r="G9" s="1070" t="s">
        <v>102</v>
      </c>
      <c r="H9" s="1183"/>
      <c r="I9" s="1183"/>
      <c r="J9" s="1071"/>
      <c r="O9" s="23"/>
      <c r="P9" s="23"/>
    </row>
    <row r="10" spans="1:16" ht="53.25" customHeight="1">
      <c r="A10" s="1083"/>
      <c r="B10" s="1083"/>
      <c r="C10" s="5" t="s">
        <v>186</v>
      </c>
      <c r="D10" s="5" t="s">
        <v>16</v>
      </c>
      <c r="E10" s="213" t="s">
        <v>363</v>
      </c>
      <c r="F10" s="7" t="s">
        <v>204</v>
      </c>
      <c r="G10" s="5" t="s">
        <v>186</v>
      </c>
      <c r="H10" s="25" t="s">
        <v>17</v>
      </c>
      <c r="I10" s="99" t="s">
        <v>112</v>
      </c>
      <c r="J10" s="5" t="s">
        <v>205</v>
      </c>
    </row>
    <row r="11" spans="1:16">
      <c r="A11" s="5">
        <v>1</v>
      </c>
      <c r="B11" s="5">
        <v>2</v>
      </c>
      <c r="C11" s="5">
        <v>3</v>
      </c>
      <c r="D11" s="5">
        <v>4</v>
      </c>
      <c r="E11" s="5">
        <v>5</v>
      </c>
      <c r="F11" s="7">
        <v>6</v>
      </c>
      <c r="G11" s="5">
        <v>7</v>
      </c>
      <c r="H11" s="96">
        <v>8</v>
      </c>
      <c r="I11" s="5">
        <v>9</v>
      </c>
      <c r="J11" s="5">
        <v>10</v>
      </c>
    </row>
    <row r="12" spans="1:16" s="805" customFormat="1" ht="18.75" customHeight="1">
      <c r="A12" s="767">
        <v>1</v>
      </c>
      <c r="B12" s="767" t="s">
        <v>843</v>
      </c>
      <c r="C12" s="767">
        <v>36</v>
      </c>
      <c r="D12" s="767">
        <v>60086</v>
      </c>
      <c r="E12" s="767">
        <v>31</v>
      </c>
      <c r="F12" s="767">
        <v>1862666</v>
      </c>
      <c r="G12" s="767">
        <v>20</v>
      </c>
      <c r="H12" s="136">
        <v>9537</v>
      </c>
      <c r="I12" s="796">
        <v>31</v>
      </c>
      <c r="J12" s="796">
        <v>308</v>
      </c>
    </row>
    <row r="13" spans="1:16" s="805" customFormat="1" ht="18.75" customHeight="1">
      <c r="A13" s="796">
        <v>2</v>
      </c>
      <c r="B13" s="796" t="s">
        <v>1100</v>
      </c>
      <c r="C13" s="796">
        <v>71</v>
      </c>
      <c r="D13" s="796">
        <v>66431</v>
      </c>
      <c r="E13" s="796">
        <v>35</v>
      </c>
      <c r="F13" s="796">
        <v>2325085</v>
      </c>
      <c r="G13" s="796">
        <v>8</v>
      </c>
      <c r="H13" s="796">
        <v>4213</v>
      </c>
      <c r="I13" s="796">
        <v>35</v>
      </c>
      <c r="J13" s="796">
        <v>120</v>
      </c>
    </row>
    <row r="14" spans="1:16" s="805" customFormat="1" ht="21.75" customHeight="1">
      <c r="A14" s="1067" t="s">
        <v>18</v>
      </c>
      <c r="B14" s="1069"/>
      <c r="C14" s="796">
        <v>107</v>
      </c>
      <c r="D14" s="796">
        <v>126517</v>
      </c>
      <c r="E14" s="796">
        <v>66</v>
      </c>
      <c r="F14" s="796">
        <v>4187751</v>
      </c>
      <c r="G14" s="796">
        <v>28</v>
      </c>
      <c r="H14" s="796">
        <v>13750</v>
      </c>
      <c r="I14" s="796">
        <v>66</v>
      </c>
      <c r="J14" s="796">
        <v>428</v>
      </c>
    </row>
    <row r="15" spans="1:16" ht="15.75" customHeight="1">
      <c r="A15" s="15"/>
      <c r="B15" s="15"/>
      <c r="C15" s="15"/>
      <c r="E15" s="15"/>
      <c r="H15" s="1092"/>
      <c r="I15" s="1092"/>
      <c r="J15" s="1092"/>
    </row>
    <row r="16" spans="1:16" ht="12.75" customHeight="1"/>
    <row r="17" spans="1:10" ht="12.75" customHeight="1"/>
    <row r="19" spans="1:10">
      <c r="A19" s="15" t="s">
        <v>12</v>
      </c>
      <c r="B19" s="15"/>
      <c r="C19" s="15"/>
      <c r="D19" s="15"/>
      <c r="E19" s="15"/>
      <c r="F19" s="15"/>
      <c r="G19" s="15"/>
      <c r="I19" s="1202"/>
      <c r="J19" s="1202"/>
    </row>
    <row r="20" spans="1:10" ht="15.75">
      <c r="H20" s="1040" t="s">
        <v>1106</v>
      </c>
      <c r="I20" s="1040"/>
      <c r="J20" s="1040"/>
    </row>
    <row r="21" spans="1:10" ht="15.75">
      <c r="H21" s="1040" t="s">
        <v>481</v>
      </c>
      <c r="I21" s="1040"/>
      <c r="J21" s="1040"/>
    </row>
    <row r="22" spans="1:10" ht="15.75">
      <c r="H22" s="1040" t="s">
        <v>1107</v>
      </c>
      <c r="I22" s="1040"/>
      <c r="J22" s="1040"/>
    </row>
  </sheetData>
  <mergeCells count="16">
    <mergeCell ref="H20:J20"/>
    <mergeCell ref="H21:J21"/>
    <mergeCell ref="H22:J22"/>
    <mergeCell ref="E1:I1"/>
    <mergeCell ref="A2:J2"/>
    <mergeCell ref="A3:J3"/>
    <mergeCell ref="A5:J5"/>
    <mergeCell ref="A8:B8"/>
    <mergeCell ref="H8:J8"/>
    <mergeCell ref="A9:A10"/>
    <mergeCell ref="B9:B10"/>
    <mergeCell ref="C9:F9"/>
    <mergeCell ref="G9:J9"/>
    <mergeCell ref="A14:B14"/>
    <mergeCell ref="H15:J15"/>
    <mergeCell ref="I19:J19"/>
  </mergeCells>
  <printOptions horizontalCentered="1"/>
  <pageMargins left="0.70866141732283472" right="0.70866141732283472" top="0.63" bottom="0" header="0.79" footer="0.31496062992125984"/>
  <pageSetup paperSize="9" scale="96"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23"/>
  <sheetViews>
    <sheetView topLeftCell="A7" zoomScaleSheetLayoutView="78" workbookViewId="0">
      <selection activeCell="E13" sqref="E13"/>
    </sheetView>
  </sheetViews>
  <sheetFormatPr defaultColWidth="9.140625" defaultRowHeight="12.75"/>
  <cols>
    <col min="1" max="1" width="7.42578125" style="16" customWidth="1"/>
    <col min="2" max="2" width="17.140625" style="16" customWidth="1"/>
    <col min="3" max="3" width="11" style="16" customWidth="1"/>
    <col min="4" max="4" width="10" style="16" customWidth="1"/>
    <col min="5" max="5" width="13.140625" style="16" customWidth="1"/>
    <col min="6" max="6" width="14.28515625" style="16" customWidth="1"/>
    <col min="7" max="7" width="13.28515625" style="16" customWidth="1"/>
    <col min="8" max="8" width="14.7109375" style="16" customWidth="1"/>
    <col min="9" max="9" width="16.7109375" style="16" customWidth="1"/>
    <col min="10" max="10" width="19.28515625" style="16" customWidth="1"/>
    <col min="11" max="16384" width="9.140625" style="16"/>
  </cols>
  <sheetData>
    <row r="1" spans="1:16" customFormat="1">
      <c r="E1" s="1114"/>
      <c r="F1" s="1114"/>
      <c r="G1" s="1114"/>
      <c r="H1" s="1114"/>
      <c r="I1" s="1114"/>
      <c r="J1" s="126" t="s">
        <v>431</v>
      </c>
    </row>
    <row r="2" spans="1:16" customFormat="1" ht="15">
      <c r="A2" s="1190" t="s">
        <v>0</v>
      </c>
      <c r="B2" s="1190"/>
      <c r="C2" s="1190"/>
      <c r="D2" s="1190"/>
      <c r="E2" s="1190"/>
      <c r="F2" s="1190"/>
      <c r="G2" s="1190"/>
      <c r="H2" s="1190"/>
      <c r="I2" s="1190"/>
      <c r="J2" s="1190"/>
    </row>
    <row r="3" spans="1:16" customFormat="1" ht="20.25">
      <c r="A3" s="1112" t="s">
        <v>636</v>
      </c>
      <c r="B3" s="1112"/>
      <c r="C3" s="1112"/>
      <c r="D3" s="1112"/>
      <c r="E3" s="1112"/>
      <c r="F3" s="1112"/>
      <c r="G3" s="1112"/>
      <c r="H3" s="1112"/>
      <c r="I3" s="1112"/>
      <c r="J3" s="1112"/>
    </row>
    <row r="4" spans="1:16" customFormat="1" ht="14.25" customHeight="1"/>
    <row r="5" spans="1:16" ht="31.5" customHeight="1">
      <c r="A5" s="1191" t="s">
        <v>650</v>
      </c>
      <c r="B5" s="1191"/>
      <c r="C5" s="1191"/>
      <c r="D5" s="1191"/>
      <c r="E5" s="1191"/>
      <c r="F5" s="1191"/>
      <c r="G5" s="1191"/>
      <c r="H5" s="1191"/>
      <c r="I5" s="1191"/>
      <c r="J5" s="1191"/>
    </row>
    <row r="6" spans="1:16" ht="13.5" customHeight="1">
      <c r="A6" s="1"/>
      <c r="B6" s="1"/>
      <c r="C6" s="1"/>
      <c r="D6" s="1"/>
      <c r="E6" s="1"/>
      <c r="F6" s="1"/>
      <c r="G6" s="1"/>
      <c r="H6" s="1"/>
      <c r="I6" s="1"/>
      <c r="J6" s="1"/>
    </row>
    <row r="7" spans="1:16" ht="0.75" customHeight="1"/>
    <row r="8" spans="1:16">
      <c r="A8" s="1092" t="s">
        <v>1047</v>
      </c>
      <c r="B8" s="1092"/>
      <c r="C8" s="31"/>
      <c r="H8" s="1194" t="s">
        <v>793</v>
      </c>
      <c r="I8" s="1194"/>
      <c r="J8" s="1194"/>
    </row>
    <row r="9" spans="1:16">
      <c r="A9" s="1083" t="s">
        <v>2</v>
      </c>
      <c r="B9" s="1083" t="s">
        <v>3</v>
      </c>
      <c r="C9" s="1070" t="s">
        <v>647</v>
      </c>
      <c r="D9" s="1183"/>
      <c r="E9" s="1183"/>
      <c r="F9" s="1071"/>
      <c r="G9" s="1070" t="s">
        <v>102</v>
      </c>
      <c r="H9" s="1183"/>
      <c r="I9" s="1183"/>
      <c r="J9" s="1071"/>
      <c r="O9" s="23"/>
      <c r="P9" s="23"/>
    </row>
    <row r="10" spans="1:16" ht="53.25" customHeight="1">
      <c r="A10" s="1083"/>
      <c r="B10" s="1083"/>
      <c r="C10" s="5" t="s">
        <v>186</v>
      </c>
      <c r="D10" s="5" t="s">
        <v>16</v>
      </c>
      <c r="E10" s="213" t="s">
        <v>363</v>
      </c>
      <c r="F10" s="7" t="s">
        <v>204</v>
      </c>
      <c r="G10" s="5" t="s">
        <v>186</v>
      </c>
      <c r="H10" s="25" t="s">
        <v>17</v>
      </c>
      <c r="I10" s="99" t="s">
        <v>112</v>
      </c>
      <c r="J10" s="5" t="s">
        <v>205</v>
      </c>
    </row>
    <row r="11" spans="1:16">
      <c r="A11" s="5">
        <v>1</v>
      </c>
      <c r="B11" s="5">
        <v>2</v>
      </c>
      <c r="C11" s="5">
        <v>3</v>
      </c>
      <c r="D11" s="5">
        <v>4</v>
      </c>
      <c r="E11" s="5">
        <v>5</v>
      </c>
      <c r="F11" s="7">
        <v>6</v>
      </c>
      <c r="G11" s="5">
        <v>7</v>
      </c>
      <c r="H11" s="96">
        <v>8</v>
      </c>
      <c r="I11" s="5">
        <v>9</v>
      </c>
      <c r="J11" s="5">
        <v>10</v>
      </c>
    </row>
    <row r="12" spans="1:16" ht="12.75" customHeight="1">
      <c r="A12" s="808">
        <v>1</v>
      </c>
      <c r="B12" s="809" t="s">
        <v>843</v>
      </c>
      <c r="C12" s="809">
        <v>886</v>
      </c>
      <c r="D12" s="809">
        <v>37928</v>
      </c>
      <c r="E12" s="809">
        <v>31</v>
      </c>
      <c r="F12" s="813">
        <v>1175768</v>
      </c>
      <c r="G12" s="809">
        <v>20</v>
      </c>
      <c r="H12" s="811">
        <v>7263</v>
      </c>
      <c r="I12" s="811">
        <v>31</v>
      </c>
      <c r="J12" s="815">
        <v>234.29032258064515</v>
      </c>
      <c r="K12" s="806"/>
      <c r="L12" s="806"/>
      <c r="M12" s="806"/>
      <c r="N12" s="806"/>
      <c r="O12" s="806"/>
      <c r="P12" s="806"/>
    </row>
    <row r="13" spans="1:16" ht="12.75" customHeight="1">
      <c r="A13" s="808">
        <v>2</v>
      </c>
      <c r="B13" s="809" t="s">
        <v>1100</v>
      </c>
      <c r="C13" s="809">
        <v>839</v>
      </c>
      <c r="D13" s="809">
        <v>46347</v>
      </c>
      <c r="E13" s="809">
        <v>35</v>
      </c>
      <c r="F13" s="810">
        <v>1622145</v>
      </c>
      <c r="G13" s="809">
        <v>8</v>
      </c>
      <c r="H13" s="811">
        <v>2972</v>
      </c>
      <c r="I13" s="811">
        <v>35</v>
      </c>
      <c r="J13" s="811">
        <v>84</v>
      </c>
      <c r="K13" s="806"/>
      <c r="L13" s="806"/>
      <c r="M13" s="806"/>
      <c r="N13" s="806"/>
      <c r="O13" s="806"/>
      <c r="P13" s="806"/>
    </row>
    <row r="14" spans="1:16" s="766" customFormat="1" ht="12.75" customHeight="1">
      <c r="A14" s="1212" t="s">
        <v>18</v>
      </c>
      <c r="B14" s="1213"/>
      <c r="C14" s="816">
        <v>1725</v>
      </c>
      <c r="D14" s="816">
        <v>84275</v>
      </c>
      <c r="E14" s="816">
        <v>66</v>
      </c>
      <c r="F14" s="818">
        <v>2797913</v>
      </c>
      <c r="G14" s="816">
        <v>28</v>
      </c>
      <c r="H14" s="819">
        <v>10235</v>
      </c>
      <c r="I14" s="819">
        <v>66</v>
      </c>
      <c r="J14" s="819">
        <v>318</v>
      </c>
      <c r="K14" s="807"/>
      <c r="L14" s="807"/>
      <c r="M14" s="807"/>
      <c r="N14" s="807"/>
      <c r="O14" s="807"/>
      <c r="P14" s="807"/>
    </row>
    <row r="15" spans="1:16">
      <c r="A15" s="12"/>
      <c r="B15" s="30"/>
      <c r="C15" s="30"/>
      <c r="D15" s="23"/>
      <c r="E15" s="23"/>
      <c r="F15" s="23"/>
      <c r="G15" s="23"/>
      <c r="H15" s="23"/>
      <c r="I15" s="23"/>
      <c r="J15" s="23"/>
    </row>
    <row r="16" spans="1:16">
      <c r="A16" s="12"/>
      <c r="B16" s="30"/>
      <c r="C16" s="30"/>
      <c r="D16" s="23"/>
      <c r="E16" s="23"/>
      <c r="F16" s="23"/>
      <c r="G16" s="23"/>
      <c r="H16" s="23"/>
      <c r="I16" s="23"/>
      <c r="J16" s="23"/>
    </row>
    <row r="17" spans="1:10" ht="15.75" customHeight="1">
      <c r="A17" s="15" t="s">
        <v>12</v>
      </c>
      <c r="B17" s="15"/>
      <c r="C17" s="15"/>
      <c r="D17" s="15"/>
      <c r="E17" s="15"/>
      <c r="F17" s="15"/>
      <c r="G17" s="15"/>
      <c r="I17" s="1202"/>
      <c r="J17" s="1202"/>
    </row>
    <row r="18" spans="1:10" ht="15.75">
      <c r="H18" s="1040" t="s">
        <v>1106</v>
      </c>
      <c r="I18" s="1040"/>
      <c r="J18" s="1040"/>
    </row>
    <row r="19" spans="1:10" ht="15.75">
      <c r="H19" s="1040" t="s">
        <v>481</v>
      </c>
      <c r="I19" s="1040"/>
      <c r="J19" s="1040"/>
    </row>
    <row r="20" spans="1:10" ht="15.75">
      <c r="H20" s="1040" t="s">
        <v>1107</v>
      </c>
      <c r="I20" s="1040"/>
      <c r="J20" s="1040"/>
    </row>
    <row r="21" spans="1:10">
      <c r="A21" s="1201"/>
      <c r="B21" s="1201"/>
      <c r="C21" s="1201"/>
      <c r="D21" s="1201"/>
      <c r="E21" s="1201"/>
      <c r="F21" s="1201"/>
      <c r="G21" s="1201"/>
      <c r="H21" s="1201"/>
      <c r="I21" s="1201"/>
      <c r="J21" s="1201"/>
    </row>
    <row r="23" spans="1:10">
      <c r="A23" s="1201"/>
      <c r="B23" s="1201"/>
      <c r="C23" s="1201"/>
      <c r="D23" s="1201"/>
      <c r="E23" s="1201"/>
      <c r="F23" s="1201"/>
      <c r="G23" s="1201"/>
      <c r="H23" s="1201"/>
      <c r="I23" s="1201"/>
      <c r="J23" s="1201"/>
    </row>
  </sheetData>
  <mergeCells count="17">
    <mergeCell ref="E1:I1"/>
    <mergeCell ref="A2:J2"/>
    <mergeCell ref="A3:J3"/>
    <mergeCell ref="A5:J5"/>
    <mergeCell ref="A8:B8"/>
    <mergeCell ref="H8:J8"/>
    <mergeCell ref="A9:A10"/>
    <mergeCell ref="B9:B10"/>
    <mergeCell ref="C9:F9"/>
    <mergeCell ref="G9:J9"/>
    <mergeCell ref="A14:B14"/>
    <mergeCell ref="A23:J23"/>
    <mergeCell ref="I17:J17"/>
    <mergeCell ref="A21:J21"/>
    <mergeCell ref="H18:J18"/>
    <mergeCell ref="H19:J19"/>
    <mergeCell ref="H20:J20"/>
  </mergeCells>
  <printOptions horizontalCentered="1"/>
  <pageMargins left="0.70866141732283472" right="0.70866141732283472" top="0.63" bottom="0" header="0.79"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54"/>
  <sheetViews>
    <sheetView topLeftCell="A40" zoomScaleSheetLayoutView="90" workbookViewId="0">
      <selection activeCell="E13" sqref="E13"/>
    </sheetView>
  </sheetViews>
  <sheetFormatPr defaultColWidth="9.28515625" defaultRowHeight="12.75"/>
  <cols>
    <col min="1" max="1" width="6.7109375" style="16" customWidth="1"/>
    <col min="2" max="2" width="19.7109375" style="16" customWidth="1"/>
    <col min="3" max="3" width="12" style="16" customWidth="1"/>
    <col min="4" max="4" width="9.7109375" style="16" customWidth="1"/>
    <col min="5" max="5" width="10.28515625" style="16" customWidth="1"/>
    <col min="6" max="6" width="13" style="16" customWidth="1"/>
    <col min="7" max="8" width="13" style="16" hidden="1" customWidth="1"/>
    <col min="9" max="9" width="15.28515625" style="16" customWidth="1"/>
    <col min="10" max="10" width="12.42578125" style="16" customWidth="1"/>
    <col min="11" max="11" width="12.28515625" style="16" customWidth="1"/>
    <col min="12" max="12" width="11.7109375" style="16" customWidth="1"/>
    <col min="13" max="13" width="12" style="16" customWidth="1"/>
    <col min="14" max="15" width="12" style="16" hidden="1" customWidth="1"/>
    <col min="16" max="16" width="17.28515625" style="16" customWidth="1"/>
    <col min="17" max="16384" width="9.28515625" style="16"/>
  </cols>
  <sheetData>
    <row r="1" spans="1:16" customFormat="1">
      <c r="D1" s="33"/>
      <c r="E1" s="33"/>
      <c r="F1" s="33"/>
      <c r="G1" s="33"/>
      <c r="H1" s="33"/>
      <c r="I1" s="33"/>
      <c r="J1" s="33"/>
      <c r="K1" s="33"/>
      <c r="L1" s="33"/>
      <c r="M1" s="33"/>
      <c r="N1" s="33"/>
      <c r="O1" s="33"/>
      <c r="P1" s="587" t="s">
        <v>63</v>
      </c>
    </row>
    <row r="2" spans="1:16" customFormat="1" ht="15">
      <c r="A2" s="1190" t="s">
        <v>0</v>
      </c>
      <c r="B2" s="1190"/>
      <c r="C2" s="1190"/>
      <c r="D2" s="1190"/>
      <c r="E2" s="1190"/>
      <c r="F2" s="1190"/>
      <c r="G2" s="1190"/>
      <c r="H2" s="1190"/>
      <c r="I2" s="1190"/>
      <c r="J2" s="1190"/>
      <c r="K2" s="1190"/>
      <c r="L2" s="1190"/>
      <c r="M2" s="1190"/>
      <c r="N2" s="1190"/>
      <c r="O2" s="1190"/>
      <c r="P2" s="1190"/>
    </row>
    <row r="3" spans="1:16" customFormat="1" ht="20.25">
      <c r="A3" s="1112" t="s">
        <v>636</v>
      </c>
      <c r="B3" s="1112"/>
      <c r="C3" s="1112"/>
      <c r="D3" s="1112"/>
      <c r="E3" s="1112"/>
      <c r="F3" s="1112"/>
      <c r="G3" s="1112"/>
      <c r="H3" s="1112"/>
      <c r="I3" s="1112"/>
      <c r="J3" s="1112"/>
      <c r="K3" s="1112"/>
      <c r="L3" s="1112"/>
      <c r="M3" s="1112"/>
      <c r="N3" s="1112"/>
      <c r="O3" s="1112"/>
      <c r="P3" s="1112"/>
    </row>
    <row r="4" spans="1:16" customFormat="1" ht="10.5" customHeight="1"/>
    <row r="5" spans="1:16" ht="19.5" customHeight="1">
      <c r="A5" s="1191" t="s">
        <v>720</v>
      </c>
      <c r="B5" s="1191"/>
      <c r="C5" s="1191"/>
      <c r="D5" s="1191"/>
      <c r="E5" s="1191"/>
      <c r="F5" s="1191"/>
      <c r="G5" s="1191"/>
      <c r="H5" s="1191"/>
      <c r="I5" s="1191"/>
      <c r="J5" s="1191"/>
      <c r="K5" s="1191"/>
      <c r="L5" s="1191"/>
      <c r="M5" s="1191"/>
      <c r="N5" s="1191"/>
      <c r="O5" s="1191"/>
      <c r="P5" s="1191"/>
    </row>
    <row r="6" spans="1:16">
      <c r="A6" s="24"/>
      <c r="B6" s="24"/>
      <c r="C6" s="24"/>
      <c r="D6" s="24"/>
      <c r="E6" s="24"/>
      <c r="F6" s="24"/>
      <c r="G6" s="24"/>
      <c r="H6" s="24">
        <v>4.75</v>
      </c>
      <c r="I6" s="24"/>
      <c r="J6" s="24"/>
      <c r="K6" s="24"/>
      <c r="L6" s="24"/>
      <c r="M6" s="24"/>
      <c r="N6" s="24"/>
      <c r="O6" s="24"/>
      <c r="P6" s="24"/>
    </row>
    <row r="7" spans="1:16">
      <c r="A7" s="1092" t="s">
        <v>1061</v>
      </c>
      <c r="B7" s="1092"/>
      <c r="F7" s="1214" t="s">
        <v>20</v>
      </c>
      <c r="G7" s="1214"/>
      <c r="H7" s="1214"/>
      <c r="I7" s="1214"/>
      <c r="J7" s="1214"/>
      <c r="K7" s="1214"/>
      <c r="L7" s="1214"/>
      <c r="M7" s="1214"/>
      <c r="N7" s="1214"/>
      <c r="O7" s="1214"/>
      <c r="P7" s="1214"/>
    </row>
    <row r="8" spans="1:16">
      <c r="A8" s="15"/>
      <c r="F8" s="17"/>
      <c r="G8" s="17"/>
      <c r="H8" s="17"/>
      <c r="I8" s="95"/>
      <c r="J8" s="95"/>
      <c r="K8" s="1194" t="s">
        <v>793</v>
      </c>
      <c r="L8" s="1194"/>
      <c r="M8" s="1194"/>
      <c r="N8" s="1194"/>
      <c r="O8" s="1194"/>
      <c r="P8" s="1194"/>
    </row>
    <row r="9" spans="1:16" s="15" customFormat="1">
      <c r="A9" s="1083" t="s">
        <v>2</v>
      </c>
      <c r="B9" s="1083" t="s">
        <v>3</v>
      </c>
      <c r="C9" s="1090" t="s">
        <v>21</v>
      </c>
      <c r="D9" s="1100"/>
      <c r="E9" s="1100"/>
      <c r="F9" s="1100"/>
      <c r="G9" s="1100"/>
      <c r="H9" s="1100"/>
      <c r="I9" s="1100"/>
      <c r="J9" s="1090" t="s">
        <v>43</v>
      </c>
      <c r="K9" s="1100"/>
      <c r="L9" s="1100"/>
      <c r="M9" s="1100"/>
      <c r="N9" s="1100"/>
      <c r="O9" s="1100"/>
      <c r="P9" s="1100"/>
    </row>
    <row r="10" spans="1:16" s="15" customFormat="1" ht="77.45" customHeight="1">
      <c r="A10" s="1083"/>
      <c r="B10" s="1083"/>
      <c r="C10" s="5" t="s">
        <v>651</v>
      </c>
      <c r="D10" s="5" t="s">
        <v>652</v>
      </c>
      <c r="E10" s="5" t="s">
        <v>70</v>
      </c>
      <c r="F10" s="5" t="s">
        <v>71</v>
      </c>
      <c r="G10" s="5"/>
      <c r="H10" s="5"/>
      <c r="I10" s="5" t="s">
        <v>721</v>
      </c>
      <c r="J10" s="5" t="s">
        <v>651</v>
      </c>
      <c r="K10" s="5" t="s">
        <v>652</v>
      </c>
      <c r="L10" s="5" t="s">
        <v>70</v>
      </c>
      <c r="M10" s="5" t="s">
        <v>71</v>
      </c>
      <c r="N10" s="5"/>
      <c r="O10" s="5"/>
      <c r="P10" s="5" t="s">
        <v>722</v>
      </c>
    </row>
    <row r="11" spans="1:16" s="15" customFormat="1">
      <c r="A11" s="5">
        <v>1</v>
      </c>
      <c r="B11" s="5">
        <v>2</v>
      </c>
      <c r="C11" s="5">
        <v>3</v>
      </c>
      <c r="D11" s="5">
        <v>4</v>
      </c>
      <c r="E11" s="5">
        <v>5</v>
      </c>
      <c r="F11" s="5">
        <v>6</v>
      </c>
      <c r="G11" s="5"/>
      <c r="H11" s="5"/>
      <c r="I11" s="5">
        <v>7</v>
      </c>
      <c r="J11" s="5">
        <v>8</v>
      </c>
      <c r="K11" s="5">
        <v>9</v>
      </c>
      <c r="L11" s="5">
        <v>10</v>
      </c>
      <c r="M11" s="5">
        <v>11</v>
      </c>
      <c r="N11" s="5"/>
      <c r="O11" s="5"/>
      <c r="P11" s="5">
        <v>12</v>
      </c>
    </row>
    <row r="12" spans="1:16" s="15" customFormat="1">
      <c r="A12" s="5"/>
      <c r="B12" s="5"/>
      <c r="C12" s="5"/>
      <c r="D12" s="5"/>
      <c r="E12" s="5"/>
      <c r="F12" s="5"/>
      <c r="G12" s="5"/>
      <c r="H12" s="5"/>
      <c r="I12" s="5"/>
      <c r="J12" s="7"/>
      <c r="K12" s="7"/>
      <c r="L12" s="7"/>
      <c r="M12" s="7"/>
      <c r="N12" s="7"/>
      <c r="O12" s="7"/>
      <c r="P12" s="5"/>
    </row>
    <row r="13" spans="1:16">
      <c r="A13" s="19">
        <v>1</v>
      </c>
      <c r="B13" s="20" t="s">
        <v>825</v>
      </c>
      <c r="C13" s="588">
        <v>2442.7027426035138</v>
      </c>
      <c r="D13" s="588">
        <v>61.331805956697146</v>
      </c>
      <c r="E13" s="588">
        <v>2380.9066250049436</v>
      </c>
      <c r="F13" s="588">
        <v>2393.0033125024734</v>
      </c>
      <c r="G13" s="588">
        <v>1800.21</v>
      </c>
      <c r="H13" s="588"/>
      <c r="I13" s="588">
        <v>49.235118459167552</v>
      </c>
      <c r="J13" s="592">
        <v>2442.077271574075</v>
      </c>
      <c r="K13" s="588">
        <v>55.079224338080323</v>
      </c>
      <c r="L13" s="589">
        <v>2386.9981537592284</v>
      </c>
      <c r="M13" s="591">
        <v>2395.14</v>
      </c>
      <c r="N13" s="591">
        <v>48.54</v>
      </c>
      <c r="O13" s="591">
        <v>2443.6799999999998</v>
      </c>
      <c r="P13" s="592">
        <v>46.937378097308738</v>
      </c>
    </row>
    <row r="14" spans="1:16">
      <c r="A14" s="19">
        <v>2</v>
      </c>
      <c r="B14" s="20" t="s">
        <v>826</v>
      </c>
      <c r="C14" s="590">
        <v>694.42161374234092</v>
      </c>
      <c r="D14" s="588">
        <v>17.435658839432822</v>
      </c>
      <c r="E14" s="588">
        <v>677.03462689126616</v>
      </c>
      <c r="F14" s="588">
        <v>665.26462689126606</v>
      </c>
      <c r="G14" s="588">
        <v>481.80231344563299</v>
      </c>
      <c r="H14" s="588"/>
      <c r="I14" s="588">
        <v>29.205658839432886</v>
      </c>
      <c r="J14" s="592">
        <v>694.48717294628182</v>
      </c>
      <c r="K14" s="588">
        <v>15.66363818372205</v>
      </c>
      <c r="L14" s="591">
        <v>678.82356505603991</v>
      </c>
      <c r="M14" s="591">
        <v>688.95378252802004</v>
      </c>
      <c r="N14" s="591">
        <v>48.54</v>
      </c>
      <c r="O14" s="591">
        <v>737.49378252802001</v>
      </c>
      <c r="P14" s="592">
        <v>5.5334207117418828</v>
      </c>
    </row>
    <row r="15" spans="1:16">
      <c r="A15" s="19">
        <v>3</v>
      </c>
      <c r="B15" s="20" t="s">
        <v>827</v>
      </c>
      <c r="C15" s="590">
        <v>1356.4329665479975</v>
      </c>
      <c r="D15" s="588">
        <v>34.057555201710514</v>
      </c>
      <c r="E15" s="588">
        <v>1264.5995572425438</v>
      </c>
      <c r="F15" s="588">
        <v>1269.0295572425439</v>
      </c>
      <c r="G15" s="588">
        <f>F15+H15</f>
        <v>1273.7795572425439</v>
      </c>
      <c r="H15" s="588">
        <v>4.75</v>
      </c>
      <c r="I15" s="588">
        <v>29.627555201710493</v>
      </c>
      <c r="J15" s="592">
        <v>1356.8428163817987</v>
      </c>
      <c r="K15" s="588">
        <v>30.602573778034085</v>
      </c>
      <c r="L15" s="591">
        <v>1265.1903017891455</v>
      </c>
      <c r="M15" s="591">
        <v>1276.3201508945729</v>
      </c>
      <c r="N15" s="591">
        <v>48.54</v>
      </c>
      <c r="O15" s="591">
        <v>1324.8601508945728</v>
      </c>
      <c r="P15" s="592">
        <v>19.472724672606773</v>
      </c>
    </row>
    <row r="16" spans="1:16">
      <c r="A16" s="19">
        <v>4</v>
      </c>
      <c r="B16" s="20" t="s">
        <v>828</v>
      </c>
      <c r="C16" s="590">
        <v>1124.8533400399263</v>
      </c>
      <c r="D16" s="588">
        <v>28.243013600394271</v>
      </c>
      <c r="E16" s="588">
        <v>1096.1694771728949</v>
      </c>
      <c r="F16" s="588">
        <v>1105.4347385864476</v>
      </c>
      <c r="G16" s="588">
        <f t="shared" ref="G16:G45" si="0">F16+H16</f>
        <v>1110.1847385864476</v>
      </c>
      <c r="H16" s="588">
        <v>4.75</v>
      </c>
      <c r="I16" s="588">
        <v>18.977752186841599</v>
      </c>
      <c r="J16" s="592">
        <v>1124.2593421510137</v>
      </c>
      <c r="K16" s="588">
        <v>25.356827665246126</v>
      </c>
      <c r="L16" s="591">
        <v>1098.9025635258786</v>
      </c>
      <c r="M16" s="591">
        <v>1096.6612817629393</v>
      </c>
      <c r="N16" s="591">
        <v>48.54</v>
      </c>
      <c r="O16" s="591">
        <v>1145.2012817629393</v>
      </c>
      <c r="P16" s="592">
        <v>27.598109428185353</v>
      </c>
    </row>
    <row r="17" spans="1:16">
      <c r="A17" s="19">
        <v>5</v>
      </c>
      <c r="B17" s="20" t="s">
        <v>829</v>
      </c>
      <c r="C17" s="590">
        <v>2779.5538941571863</v>
      </c>
      <c r="D17" s="588">
        <v>69.789523346149139</v>
      </c>
      <c r="E17" s="588">
        <v>2710.1867324460154</v>
      </c>
      <c r="F17" s="588">
        <v>2721.2033662230078</v>
      </c>
      <c r="G17" s="588">
        <f t="shared" si="0"/>
        <v>2725.9533662230078</v>
      </c>
      <c r="H17" s="588">
        <v>4.75</v>
      </c>
      <c r="I17" s="588">
        <v>58.772889569156632</v>
      </c>
      <c r="J17" s="592">
        <v>2780.1229408898785</v>
      </c>
      <c r="K17" s="588">
        <v>62.703591295461784</v>
      </c>
      <c r="L17" s="591">
        <v>2717.419470863178</v>
      </c>
      <c r="M17" s="591">
        <v>2715.88973543159</v>
      </c>
      <c r="N17" s="591">
        <v>48.54</v>
      </c>
      <c r="O17" s="591">
        <v>2764.42973543159</v>
      </c>
      <c r="P17" s="592">
        <v>64.233326727049644</v>
      </c>
    </row>
    <row r="18" spans="1:16">
      <c r="A18" s="19">
        <v>6</v>
      </c>
      <c r="B18" s="20" t="s">
        <v>830</v>
      </c>
      <c r="C18" s="590">
        <v>719.37539853424573</v>
      </c>
      <c r="D18" s="588">
        <v>18.062202814698132</v>
      </c>
      <c r="E18" s="588">
        <v>701.4069472621984</v>
      </c>
      <c r="F18" s="588">
        <v>703.29394726219834</v>
      </c>
      <c r="G18" s="588">
        <f t="shared" si="0"/>
        <v>708.04394726219834</v>
      </c>
      <c r="H18" s="588">
        <v>4.75</v>
      </c>
      <c r="I18" s="588">
        <v>16.175202814698196</v>
      </c>
      <c r="J18" s="592">
        <v>719.50173536147997</v>
      </c>
      <c r="K18" s="588">
        <v>16.227822909169962</v>
      </c>
      <c r="L18" s="591">
        <v>703.27394383692354</v>
      </c>
      <c r="M18" s="591">
        <v>712.40397191846171</v>
      </c>
      <c r="N18" s="591">
        <v>48.54</v>
      </c>
      <c r="O18" s="591">
        <v>760.94397191846167</v>
      </c>
      <c r="P18" s="592">
        <v>7.0977948276317875</v>
      </c>
    </row>
    <row r="19" spans="1:16">
      <c r="A19" s="19">
        <v>7</v>
      </c>
      <c r="B19" s="20" t="s">
        <v>831</v>
      </c>
      <c r="C19" s="590">
        <v>496.93966742258868</v>
      </c>
      <c r="D19" s="588">
        <v>12.477247731774002</v>
      </c>
      <c r="E19" s="588">
        <v>484.63629193103714</v>
      </c>
      <c r="F19" s="588">
        <v>484.56229193103718</v>
      </c>
      <c r="G19" s="588">
        <f t="shared" si="0"/>
        <v>489.31229193103718</v>
      </c>
      <c r="H19" s="588">
        <v>4.75</v>
      </c>
      <c r="I19" s="588">
        <v>12.551247731773969</v>
      </c>
      <c r="J19" s="592">
        <v>497.17395249632358</v>
      </c>
      <c r="K19" s="588">
        <v>11.213386236113809</v>
      </c>
      <c r="L19" s="591">
        <v>485.96058794690157</v>
      </c>
      <c r="M19" s="591">
        <v>492.53629397345077</v>
      </c>
      <c r="N19" s="591">
        <v>48.54</v>
      </c>
      <c r="O19" s="591">
        <v>541.07629397345079</v>
      </c>
      <c r="P19" s="592">
        <v>4.6376802095646212</v>
      </c>
    </row>
    <row r="20" spans="1:16">
      <c r="A20" s="19">
        <v>8</v>
      </c>
      <c r="B20" s="20" t="s">
        <v>832</v>
      </c>
      <c r="C20" s="590">
        <v>1526.038733893409</v>
      </c>
      <c r="D20" s="588">
        <v>38.316046351918366</v>
      </c>
      <c r="E20" s="588">
        <v>1485.8058555712382</v>
      </c>
      <c r="F20" s="588">
        <v>1491.4679277856192</v>
      </c>
      <c r="G20" s="588">
        <f t="shared" si="0"/>
        <v>1496.2179277856192</v>
      </c>
      <c r="H20" s="588">
        <v>4.75</v>
      </c>
      <c r="I20" s="588">
        <v>32.653974137537489</v>
      </c>
      <c r="J20" s="592">
        <v>1523.456210457779</v>
      </c>
      <c r="K20" s="588">
        <v>34.360414128484905</v>
      </c>
      <c r="L20" s="591">
        <v>1489.0958627823436</v>
      </c>
      <c r="M20" s="591">
        <v>1498.8459313911717</v>
      </c>
      <c r="N20" s="591">
        <v>48.54</v>
      </c>
      <c r="O20" s="591">
        <v>1547.3859313911717</v>
      </c>
      <c r="P20" s="592">
        <v>24.610345519656903</v>
      </c>
    </row>
    <row r="21" spans="1:16">
      <c r="A21" s="19">
        <v>9</v>
      </c>
      <c r="B21" s="20" t="s">
        <v>833</v>
      </c>
      <c r="C21" s="590">
        <v>1240.4153669736004</v>
      </c>
      <c r="D21" s="588">
        <v>31.144565102442563</v>
      </c>
      <c r="E21" s="588">
        <v>1208.9963915234339</v>
      </c>
      <c r="F21" s="588">
        <v>1201.1831957617169</v>
      </c>
      <c r="G21" s="588">
        <f t="shared" si="0"/>
        <v>1205.9331957617169</v>
      </c>
      <c r="H21" s="588">
        <v>4.75</v>
      </c>
      <c r="I21" s="588">
        <v>38.957760864159582</v>
      </c>
      <c r="J21" s="592">
        <v>1240.0456314879148</v>
      </c>
      <c r="K21" s="588">
        <v>27.968300725453759</v>
      </c>
      <c r="L21" s="591">
        <v>1212.0773848531617</v>
      </c>
      <c r="M21" s="591">
        <v>1184.9100000000001</v>
      </c>
      <c r="N21" s="591">
        <v>48.54</v>
      </c>
      <c r="O21" s="591">
        <v>1233.45</v>
      </c>
      <c r="P21" s="592">
        <v>55.135685578615266</v>
      </c>
    </row>
    <row r="22" spans="1:16">
      <c r="A22" s="19">
        <v>10</v>
      </c>
      <c r="B22" s="20" t="s">
        <v>834</v>
      </c>
      <c r="C22" s="590">
        <v>328.72195624931845</v>
      </c>
      <c r="D22" s="588">
        <v>8.2536081377223596</v>
      </c>
      <c r="E22" s="588">
        <v>320.57047685630999</v>
      </c>
      <c r="F22" s="588">
        <v>326.22047685630997</v>
      </c>
      <c r="G22" s="588">
        <f t="shared" si="0"/>
        <v>330.97047685630997</v>
      </c>
      <c r="H22" s="588">
        <v>4.75</v>
      </c>
      <c r="I22" s="588">
        <v>2.6036081377224036</v>
      </c>
      <c r="J22" s="592">
        <v>328.85955631389743</v>
      </c>
      <c r="K22" s="588">
        <v>7.4171810567892127</v>
      </c>
      <c r="L22" s="591">
        <v>321.44238960193826</v>
      </c>
      <c r="M22" s="591">
        <v>325.27</v>
      </c>
      <c r="N22" s="591">
        <v>48.54</v>
      </c>
      <c r="O22" s="591">
        <v>373.81</v>
      </c>
      <c r="P22" s="592">
        <v>3.5895706587274958</v>
      </c>
    </row>
    <row r="23" spans="1:16">
      <c r="A23" s="19">
        <v>11</v>
      </c>
      <c r="B23" s="20" t="s">
        <v>835</v>
      </c>
      <c r="C23" s="592">
        <v>683.32429757568377</v>
      </c>
      <c r="D23" s="588">
        <v>17.157025492074265</v>
      </c>
      <c r="E23" s="588">
        <v>666.49236053766708</v>
      </c>
      <c r="F23" s="588">
        <v>659.55118026883349</v>
      </c>
      <c r="G23" s="588">
        <f t="shared" si="0"/>
        <v>664.30118026883349</v>
      </c>
      <c r="H23" s="588">
        <v>4.75</v>
      </c>
      <c r="I23" s="588">
        <v>24.098205760907831</v>
      </c>
      <c r="J23" s="592">
        <v>683.76228696593205</v>
      </c>
      <c r="K23" s="588">
        <v>15.421746410767927</v>
      </c>
      <c r="L23" s="591">
        <v>668.34057038082551</v>
      </c>
      <c r="M23" s="591">
        <v>653.62857038082541</v>
      </c>
      <c r="N23" s="591">
        <v>48.54</v>
      </c>
      <c r="O23" s="591">
        <v>702.16857038082537</v>
      </c>
      <c r="P23" s="592">
        <v>30.133746410768026</v>
      </c>
    </row>
    <row r="24" spans="1:16">
      <c r="A24" s="19">
        <v>12</v>
      </c>
      <c r="B24" s="20" t="s">
        <v>836</v>
      </c>
      <c r="C24" s="592">
        <v>1396.4164937162636</v>
      </c>
      <c r="D24" s="588">
        <v>35.061468566598599</v>
      </c>
      <c r="E24" s="588">
        <v>1361.4692813518184</v>
      </c>
      <c r="F24" s="588">
        <v>1346.3546406759092</v>
      </c>
      <c r="G24" s="588">
        <f t="shared" si="0"/>
        <v>1351.1046406759092</v>
      </c>
      <c r="H24" s="588">
        <v>4.75</v>
      </c>
      <c r="I24" s="588">
        <v>50.176109242507891</v>
      </c>
      <c r="J24" s="592">
        <v>1396.5703980396167</v>
      </c>
      <c r="K24" s="588">
        <v>31.498599636024224</v>
      </c>
      <c r="L24" s="591">
        <v>1365.0718593218921</v>
      </c>
      <c r="M24" s="591">
        <v>1345.31</v>
      </c>
      <c r="N24" s="591">
        <v>48.54</v>
      </c>
      <c r="O24" s="591">
        <v>1393.85</v>
      </c>
      <c r="P24" s="592">
        <v>51.260458957916399</v>
      </c>
    </row>
    <row r="25" spans="1:16">
      <c r="A25" s="19">
        <v>13</v>
      </c>
      <c r="B25" s="20" t="s">
        <v>837</v>
      </c>
      <c r="C25" s="592">
        <v>2414.37464152349</v>
      </c>
      <c r="D25" s="588">
        <v>60.620539060296181</v>
      </c>
      <c r="E25" s="588">
        <v>2353.8659787756073</v>
      </c>
      <c r="F25" s="588">
        <v>2364.1379893878034</v>
      </c>
      <c r="G25" s="588">
        <f t="shared" si="0"/>
        <v>2368.8879893878034</v>
      </c>
      <c r="H25" s="588">
        <v>4.75</v>
      </c>
      <c r="I25" s="588">
        <v>50.348528448100296</v>
      </c>
      <c r="J25" s="592">
        <v>2414.5254225405019</v>
      </c>
      <c r="K25" s="588">
        <v>54.457813012765889</v>
      </c>
      <c r="L25" s="591">
        <v>2360.06771484916</v>
      </c>
      <c r="M25" s="591">
        <v>2372.35885742458</v>
      </c>
      <c r="N25" s="591">
        <v>48.54</v>
      </c>
      <c r="O25" s="591">
        <v>2420.89885742458</v>
      </c>
      <c r="P25" s="592">
        <v>42.166670437346056</v>
      </c>
    </row>
    <row r="26" spans="1:16">
      <c r="A26" s="19">
        <v>14</v>
      </c>
      <c r="B26" s="20" t="s">
        <v>838</v>
      </c>
      <c r="C26" s="592">
        <v>576.48934516975976</v>
      </c>
      <c r="D26" s="588">
        <v>14.47459489744147</v>
      </c>
      <c r="E26" s="588">
        <v>549.96153213998332</v>
      </c>
      <c r="F26" s="588">
        <v>559.98576606999166</v>
      </c>
      <c r="G26" s="588">
        <f t="shared" si="0"/>
        <v>564.73576606999166</v>
      </c>
      <c r="H26" s="588">
        <v>4.75</v>
      </c>
      <c r="I26" s="588">
        <v>4.4503609674330846</v>
      </c>
      <c r="J26" s="592">
        <v>576.53884624437342</v>
      </c>
      <c r="K26" s="588">
        <v>13.003401989587132</v>
      </c>
      <c r="L26" s="591">
        <v>551.44546940336897</v>
      </c>
      <c r="M26" s="591">
        <v>559.5757347016845</v>
      </c>
      <c r="N26" s="591">
        <v>48.54</v>
      </c>
      <c r="O26" s="591">
        <v>608.11573470168446</v>
      </c>
      <c r="P26" s="592">
        <v>4.8731366912716112</v>
      </c>
    </row>
    <row r="27" spans="1:16">
      <c r="A27" s="19">
        <v>15</v>
      </c>
      <c r="B27" s="20" t="s">
        <v>839</v>
      </c>
      <c r="C27" s="592">
        <v>378.73593517620179</v>
      </c>
      <c r="D27" s="588">
        <v>9.5093678325743678</v>
      </c>
      <c r="E27" s="588">
        <v>419.01724069701481</v>
      </c>
      <c r="F27" s="588">
        <v>418.48862034850742</v>
      </c>
      <c r="G27" s="588">
        <f t="shared" si="0"/>
        <v>423.23862034850742</v>
      </c>
      <c r="H27" s="588">
        <v>4.75</v>
      </c>
      <c r="I27" s="588">
        <v>10.037988181081744</v>
      </c>
      <c r="J27" s="592">
        <v>378.85811927096057</v>
      </c>
      <c r="K27" s="588">
        <v>8.5448612075154262</v>
      </c>
      <c r="L27" s="591">
        <v>370.31327458920885</v>
      </c>
      <c r="M27" s="591">
        <v>366.44</v>
      </c>
      <c r="N27" s="591">
        <v>48.54</v>
      </c>
      <c r="O27" s="591">
        <v>414.98</v>
      </c>
      <c r="P27" s="592">
        <v>12.4181357967243</v>
      </c>
    </row>
    <row r="28" spans="1:16">
      <c r="A28" s="19">
        <v>16</v>
      </c>
      <c r="B28" s="20" t="s">
        <v>840</v>
      </c>
      <c r="C28" s="592">
        <v>199.43062487421381</v>
      </c>
      <c r="D28" s="588">
        <v>5.0073388682453697</v>
      </c>
      <c r="E28" s="588">
        <v>194.49143624107958</v>
      </c>
      <c r="F28" s="588">
        <v>185.94143624107957</v>
      </c>
      <c r="G28" s="588">
        <f t="shared" si="0"/>
        <v>190.69143624107957</v>
      </c>
      <c r="H28" s="588">
        <v>4.75</v>
      </c>
      <c r="I28" s="588">
        <v>13.557338868245381</v>
      </c>
      <c r="J28" s="592">
        <v>199.52243878627601</v>
      </c>
      <c r="K28" s="588">
        <v>4.5000792130163569</v>
      </c>
      <c r="L28" s="591">
        <v>195.02236827641397</v>
      </c>
      <c r="M28" s="591">
        <v>182.39218413820697</v>
      </c>
      <c r="N28" s="591">
        <v>48.54</v>
      </c>
      <c r="O28" s="591">
        <v>230.93218413820696</v>
      </c>
      <c r="P28" s="592">
        <v>17.130263351223363</v>
      </c>
    </row>
    <row r="29" spans="1:16">
      <c r="A29" s="19">
        <v>17</v>
      </c>
      <c r="B29" s="20" t="s">
        <v>841</v>
      </c>
      <c r="C29" s="592">
        <v>1282.4254374530824</v>
      </c>
      <c r="D29" s="588">
        <v>32.199361269793073</v>
      </c>
      <c r="E29" s="588">
        <v>1250.120715020644</v>
      </c>
      <c r="F29" s="588">
        <v>1216.950357510322</v>
      </c>
      <c r="G29" s="588">
        <f t="shared" si="0"/>
        <v>1221.700357510322</v>
      </c>
      <c r="H29" s="588">
        <v>4.75</v>
      </c>
      <c r="I29" s="588">
        <v>65.369718780115136</v>
      </c>
      <c r="J29" s="592">
        <v>1282.2834942950194</v>
      </c>
      <c r="K29" s="588">
        <v>28.920944095175653</v>
      </c>
      <c r="L29" s="591">
        <v>1253.3626061329569</v>
      </c>
      <c r="M29" s="591">
        <v>1245.4923030664786</v>
      </c>
      <c r="N29" s="591">
        <v>48.54</v>
      </c>
      <c r="O29" s="591">
        <v>1294.0323030664786</v>
      </c>
      <c r="P29" s="592">
        <v>36.791247161653928</v>
      </c>
    </row>
    <row r="30" spans="1:16">
      <c r="A30" s="19">
        <v>18</v>
      </c>
      <c r="B30" s="20" t="s">
        <v>842</v>
      </c>
      <c r="C30" s="592">
        <v>1025.5802442986042</v>
      </c>
      <c r="D30" s="588">
        <v>25.75044742009926</v>
      </c>
      <c r="E30" s="588">
        <v>1000.18620078091</v>
      </c>
      <c r="F30" s="588">
        <v>1007.16720078091</v>
      </c>
      <c r="G30" s="588">
        <f t="shared" si="0"/>
        <v>1011.91720078091</v>
      </c>
      <c r="H30" s="588">
        <v>4.75</v>
      </c>
      <c r="I30" s="588">
        <v>18.769447420099368</v>
      </c>
      <c r="J30" s="592">
        <v>1026.0604084995755</v>
      </c>
      <c r="K30" s="588">
        <v>23.142024243869717</v>
      </c>
      <c r="L30" s="591">
        <v>1002.9184290123865</v>
      </c>
      <c r="M30" s="591">
        <v>1012.0482145061932</v>
      </c>
      <c r="N30" s="591">
        <v>48.54</v>
      </c>
      <c r="O30" s="591">
        <v>1060.5882145061933</v>
      </c>
      <c r="P30" s="592">
        <v>14.01223875006292</v>
      </c>
    </row>
    <row r="31" spans="1:16">
      <c r="A31" s="19">
        <v>19</v>
      </c>
      <c r="B31" s="20" t="s">
        <v>843</v>
      </c>
      <c r="C31" s="592">
        <v>899.19216967573436</v>
      </c>
      <c r="D31" s="588">
        <v>22.577073626876889</v>
      </c>
      <c r="E31" s="588">
        <v>849.49875700774328</v>
      </c>
      <c r="F31" s="588">
        <v>856.76937850387162</v>
      </c>
      <c r="G31" s="588">
        <f t="shared" si="0"/>
        <v>861.51937850387162</v>
      </c>
      <c r="H31" s="588">
        <v>4.75</v>
      </c>
      <c r="I31" s="588">
        <v>15.306452130748539</v>
      </c>
      <c r="J31" s="592">
        <v>899.43952696451129</v>
      </c>
      <c r="K31" s="588">
        <v>20.286185069108473</v>
      </c>
      <c r="L31" s="591">
        <v>851.85338112888985</v>
      </c>
      <c r="M31" s="591">
        <v>860.98369056444483</v>
      </c>
      <c r="N31" s="591">
        <v>48.54</v>
      </c>
      <c r="O31" s="591">
        <v>909.52369056444479</v>
      </c>
      <c r="P31" s="592">
        <v>11.155875633553478</v>
      </c>
    </row>
    <row r="32" spans="1:16">
      <c r="A32" s="19">
        <v>20</v>
      </c>
      <c r="B32" s="20" t="s">
        <v>844</v>
      </c>
      <c r="C32" s="592">
        <v>996.74819538865574</v>
      </c>
      <c r="D32" s="588">
        <v>25.026527313801669</v>
      </c>
      <c r="E32" s="588">
        <v>971.88758973208974</v>
      </c>
      <c r="F32" s="588">
        <v>959.4087948660449</v>
      </c>
      <c r="G32" s="588">
        <f t="shared" si="0"/>
        <v>964.1587948660449</v>
      </c>
      <c r="H32" s="588">
        <v>4.75</v>
      </c>
      <c r="I32" s="588">
        <v>37.50532217984653</v>
      </c>
      <c r="J32" s="592">
        <v>996.97176730098613</v>
      </c>
      <c r="K32" s="588">
        <v>22.485951721957125</v>
      </c>
      <c r="L32" s="591">
        <v>974.48585906686526</v>
      </c>
      <c r="M32" s="591">
        <v>993.56</v>
      </c>
      <c r="N32" s="591">
        <v>48.54</v>
      </c>
      <c r="O32" s="591">
        <v>1042.0999999999999</v>
      </c>
      <c r="P32" s="592">
        <v>3.4118107888224358</v>
      </c>
    </row>
    <row r="33" spans="1:16">
      <c r="A33" s="19">
        <v>21</v>
      </c>
      <c r="B33" s="20" t="s">
        <v>845</v>
      </c>
      <c r="C33" s="592">
        <v>1395.0397972373526</v>
      </c>
      <c r="D33" s="588">
        <v>35.026902231598761</v>
      </c>
      <c r="E33" s="588">
        <v>1260.0174022873275</v>
      </c>
      <c r="F33" s="588">
        <v>1231.5887011436637</v>
      </c>
      <c r="G33" s="588">
        <f t="shared" si="0"/>
        <v>1236.3387011436637</v>
      </c>
      <c r="H33" s="588">
        <v>4.75</v>
      </c>
      <c r="I33" s="588">
        <v>63.455603375262626</v>
      </c>
      <c r="J33" s="592">
        <v>1395.3288345030805</v>
      </c>
      <c r="K33" s="588">
        <v>31.470597100086948</v>
      </c>
      <c r="L33" s="591">
        <v>1270.5582982671363</v>
      </c>
      <c r="M33" s="591">
        <v>1255.75</v>
      </c>
      <c r="N33" s="591">
        <v>48.54</v>
      </c>
      <c r="O33" s="591">
        <v>1304.29</v>
      </c>
      <c r="P33" s="592">
        <v>46.278895367223186</v>
      </c>
    </row>
    <row r="34" spans="1:16">
      <c r="A34" s="19">
        <v>22</v>
      </c>
      <c r="B34" s="20" t="s">
        <v>846</v>
      </c>
      <c r="C34" s="592">
        <v>844.7716646862566</v>
      </c>
      <c r="D34" s="588">
        <v>21.210674108070648</v>
      </c>
      <c r="E34" s="588">
        <v>823.63037304277861</v>
      </c>
      <c r="F34" s="588">
        <v>815.43518652138926</v>
      </c>
      <c r="G34" s="588">
        <f t="shared" si="0"/>
        <v>820.18518652138926</v>
      </c>
      <c r="H34" s="588">
        <v>4.75</v>
      </c>
      <c r="I34" s="588">
        <v>29.405860629459994</v>
      </c>
      <c r="J34" s="592">
        <v>844.86520563800354</v>
      </c>
      <c r="K34" s="588">
        <v>19.055302114490214</v>
      </c>
      <c r="L34" s="591">
        <v>825.80994037647235</v>
      </c>
      <c r="M34" s="591">
        <v>837.25994037647229</v>
      </c>
      <c r="N34" s="591">
        <v>48.54</v>
      </c>
      <c r="O34" s="591">
        <v>885.79994037647225</v>
      </c>
      <c r="P34" s="592">
        <v>7.6053021144903141</v>
      </c>
    </row>
    <row r="35" spans="1:16">
      <c r="A35" s="19">
        <v>23</v>
      </c>
      <c r="B35" s="20" t="s">
        <v>847</v>
      </c>
      <c r="C35" s="592">
        <v>1250.531620377571</v>
      </c>
      <c r="D35" s="588">
        <v>31.398565755063853</v>
      </c>
      <c r="E35" s="588">
        <v>1219.8292698096532</v>
      </c>
      <c r="F35" s="588">
        <f>1202.89963490483+0.04</f>
        <v>1202.93963490483</v>
      </c>
      <c r="G35" s="588">
        <f t="shared" si="0"/>
        <v>1207.68963490483</v>
      </c>
      <c r="H35" s="588">
        <v>4.75</v>
      </c>
      <c r="I35" s="588">
        <v>48.288200659887025</v>
      </c>
      <c r="J35" s="592">
        <v>1251.4695473498705</v>
      </c>
      <c r="K35" s="588">
        <v>28.225958593984039</v>
      </c>
      <c r="L35" s="591">
        <v>1223.2436433448975</v>
      </c>
      <c r="M35" s="591">
        <v>1198.3800000000001</v>
      </c>
      <c r="N35" s="591">
        <v>48.54</v>
      </c>
      <c r="O35" s="591">
        <v>1246.92</v>
      </c>
      <c r="P35" s="592">
        <v>53.089601938881287</v>
      </c>
    </row>
    <row r="36" spans="1:16">
      <c r="A36" s="19">
        <v>24</v>
      </c>
      <c r="B36" s="20" t="s">
        <v>848</v>
      </c>
      <c r="C36" s="592">
        <v>999.04172022724447</v>
      </c>
      <c r="D36" s="588">
        <v>25.084113534958998</v>
      </c>
      <c r="E36" s="588">
        <v>973.86105185400152</v>
      </c>
      <c r="F36" s="588">
        <v>951.24105185400151</v>
      </c>
      <c r="G36" s="588">
        <f t="shared" si="0"/>
        <v>955.99105185400151</v>
      </c>
      <c r="H36" s="588">
        <v>4.75</v>
      </c>
      <c r="I36" s="588">
        <v>47.704113534958992</v>
      </c>
      <c r="J36" s="592">
        <v>998.91169062631604</v>
      </c>
      <c r="K36" s="588">
        <v>22.52970524002891</v>
      </c>
      <c r="L36" s="591">
        <v>976.38202895874269</v>
      </c>
      <c r="M36" s="591">
        <v>980.38</v>
      </c>
      <c r="N36" s="591">
        <v>48.54</v>
      </c>
      <c r="O36" s="591">
        <v>1028.92</v>
      </c>
      <c r="P36" s="592">
        <v>18.531734198771574</v>
      </c>
    </row>
    <row r="37" spans="1:16">
      <c r="A37" s="19">
        <v>25</v>
      </c>
      <c r="B37" s="20" t="s">
        <v>849</v>
      </c>
      <c r="C37" s="592">
        <v>490.1527705603533</v>
      </c>
      <c r="D37" s="588">
        <v>12.306841143144602</v>
      </c>
      <c r="E37" s="588">
        <v>477.86894873959557</v>
      </c>
      <c r="F37" s="588">
        <v>487.9389487395955</v>
      </c>
      <c r="G37" s="588">
        <f t="shared" si="0"/>
        <v>492.6889487395955</v>
      </c>
      <c r="H37" s="588">
        <v>4.75</v>
      </c>
      <c r="I37" s="588">
        <v>2.2368411431446589</v>
      </c>
      <c r="J37" s="592">
        <v>490.18379592203945</v>
      </c>
      <c r="K37" s="588">
        <v>11.055728488508985</v>
      </c>
      <c r="L37" s="591">
        <v>479.12808881531214</v>
      </c>
      <c r="M37" s="591">
        <v>486.25804440765609</v>
      </c>
      <c r="N37" s="591">
        <v>48.54</v>
      </c>
      <c r="O37" s="591">
        <v>534.79804440765611</v>
      </c>
      <c r="P37" s="592">
        <v>3.9257728961650287</v>
      </c>
    </row>
    <row r="38" spans="1:16">
      <c r="A38" s="19">
        <v>26</v>
      </c>
      <c r="B38" s="20" t="s">
        <v>850</v>
      </c>
      <c r="C38" s="592">
        <v>591.04227089197843</v>
      </c>
      <c r="D38" s="588">
        <v>14.839992291455129</v>
      </c>
      <c r="E38" s="588">
        <v>576.21784405545509</v>
      </c>
      <c r="F38" s="588">
        <v>551.81784405545511</v>
      </c>
      <c r="G38" s="588">
        <f t="shared" si="0"/>
        <v>556.56784405545511</v>
      </c>
      <c r="H38" s="588">
        <v>4.75</v>
      </c>
      <c r="I38" s="588">
        <v>39.23999229145511</v>
      </c>
      <c r="J38" s="592">
        <v>591.06320691961071</v>
      </c>
      <c r="K38" s="588">
        <v>13.330988069401446</v>
      </c>
      <c r="L38" s="591">
        <v>577.73224463234351</v>
      </c>
      <c r="M38" s="591">
        <v>585.42999999999995</v>
      </c>
      <c r="N38" s="591">
        <v>48.54</v>
      </c>
      <c r="O38" s="591">
        <v>633.96999999999991</v>
      </c>
      <c r="P38" s="592">
        <v>5.633232701744987</v>
      </c>
    </row>
    <row r="39" spans="1:16">
      <c r="A39" s="19">
        <v>27</v>
      </c>
      <c r="B39" s="20" t="s">
        <v>851</v>
      </c>
      <c r="C39" s="592">
        <v>805.54065276533458</v>
      </c>
      <c r="D39" s="588">
        <v>20.225655027093833</v>
      </c>
      <c r="E39" s="588">
        <v>785.57223832262662</v>
      </c>
      <c r="F39" s="588">
        <v>771.59611916131325</v>
      </c>
      <c r="G39" s="588">
        <f t="shared" si="0"/>
        <v>776.34611916131325</v>
      </c>
      <c r="H39" s="588">
        <v>4.75</v>
      </c>
      <c r="I39" s="588">
        <v>34.201774188407171</v>
      </c>
      <c r="J39" s="592">
        <v>805.8872859955186</v>
      </c>
      <c r="K39" s="588">
        <v>18.176184321941289</v>
      </c>
      <c r="L39" s="591">
        <v>787.71113682632233</v>
      </c>
      <c r="M39" s="591">
        <v>753.13</v>
      </c>
      <c r="N39" s="591">
        <v>48.54</v>
      </c>
      <c r="O39" s="591">
        <v>801.67</v>
      </c>
      <c r="P39" s="592">
        <v>52.7573211482636</v>
      </c>
    </row>
    <row r="40" spans="1:16">
      <c r="A40" s="19">
        <v>28</v>
      </c>
      <c r="B40" s="20" t="s">
        <v>852</v>
      </c>
      <c r="C40" s="592">
        <v>444.50532514600729</v>
      </c>
      <c r="D40" s="588">
        <v>11.160717132333675</v>
      </c>
      <c r="E40" s="588">
        <v>433.27774459496896</v>
      </c>
      <c r="F40" s="588">
        <v>421.53774459496896</v>
      </c>
      <c r="G40" s="588">
        <f t="shared" si="0"/>
        <v>426.28774459496896</v>
      </c>
      <c r="H40" s="588">
        <v>4.75</v>
      </c>
      <c r="I40" s="588">
        <v>22.900717132333682</v>
      </c>
      <c r="J40" s="592">
        <v>444.41520295266895</v>
      </c>
      <c r="K40" s="588">
        <v>10.023452143635849</v>
      </c>
      <c r="L40" s="591">
        <v>434.39177019439205</v>
      </c>
      <c r="M40" s="591">
        <v>428.53</v>
      </c>
      <c r="N40" s="591">
        <v>48.54</v>
      </c>
      <c r="O40" s="591">
        <v>477.07</v>
      </c>
      <c r="P40" s="592">
        <v>15.885222338027916</v>
      </c>
    </row>
    <row r="41" spans="1:16">
      <c r="A41" s="19">
        <v>29</v>
      </c>
      <c r="B41" s="20" t="s">
        <v>1041</v>
      </c>
      <c r="C41" s="592">
        <v>972.72984606371165</v>
      </c>
      <c r="D41" s="588">
        <v>24.423470415184699</v>
      </c>
      <c r="E41" s="588">
        <v>948.20233890435179</v>
      </c>
      <c r="F41" s="588">
        <v>955.63116945217575</v>
      </c>
      <c r="G41" s="588">
        <f t="shared" si="0"/>
        <v>960.38116945217575</v>
      </c>
      <c r="H41" s="588">
        <v>4.75</v>
      </c>
      <c r="I41" s="588">
        <v>16.994639867360775</v>
      </c>
      <c r="J41" s="592">
        <v>972.58967504123723</v>
      </c>
      <c r="K41" s="588">
        <v>21.936031887298956</v>
      </c>
      <c r="L41" s="591">
        <v>950.65368557822944</v>
      </c>
      <c r="M41" s="591">
        <v>959.78384278911471</v>
      </c>
      <c r="N41" s="591">
        <v>48.54</v>
      </c>
      <c r="O41" s="591">
        <v>1008.3238427891147</v>
      </c>
      <c r="P41" s="592">
        <v>12.805874676413737</v>
      </c>
    </row>
    <row r="42" spans="1:16">
      <c r="A42" s="19">
        <v>30</v>
      </c>
      <c r="B42" s="20" t="s">
        <v>1042</v>
      </c>
      <c r="C42" s="592">
        <v>416.10824769196131</v>
      </c>
      <c r="D42" s="588">
        <v>10.447718365118739</v>
      </c>
      <c r="E42" s="588">
        <v>405.42199507973987</v>
      </c>
      <c r="F42" s="588">
        <v>411.28599753986992</v>
      </c>
      <c r="G42" s="588">
        <f t="shared" si="0"/>
        <v>416.03599753986992</v>
      </c>
      <c r="H42" s="588">
        <v>4.75</v>
      </c>
      <c r="I42" s="588">
        <v>4.5837159049887077</v>
      </c>
      <c r="J42" s="592">
        <v>415.78691637090947</v>
      </c>
      <c r="K42" s="588">
        <v>9.3777625754121452</v>
      </c>
      <c r="L42" s="591">
        <v>406.40917193209248</v>
      </c>
      <c r="M42" s="591">
        <v>405.32</v>
      </c>
      <c r="N42" s="591">
        <v>48.54</v>
      </c>
      <c r="O42" s="591">
        <v>453.86</v>
      </c>
      <c r="P42" s="592">
        <v>10.466934507504618</v>
      </c>
    </row>
    <row r="43" spans="1:16">
      <c r="A43" s="19">
        <v>31</v>
      </c>
      <c r="B43" s="20" t="s">
        <v>1043</v>
      </c>
      <c r="C43" s="592">
        <v>567.74442395530582</v>
      </c>
      <c r="D43" s="588">
        <v>14.255025892307494</v>
      </c>
      <c r="E43" s="588">
        <v>553.32719373689133</v>
      </c>
      <c r="F43" s="588">
        <v>532.48859686844571</v>
      </c>
      <c r="G43" s="588">
        <f t="shared" si="0"/>
        <v>537.23859686844571</v>
      </c>
      <c r="H43" s="588">
        <v>4.75</v>
      </c>
      <c r="I43" s="588">
        <v>35.093622760753078</v>
      </c>
      <c r="J43" s="592">
        <v>567.52590632753697</v>
      </c>
      <c r="K43" s="588">
        <v>12.800121878264079</v>
      </c>
      <c r="L43" s="591">
        <v>554.72580920471182</v>
      </c>
      <c r="M43" s="591">
        <v>530.98580920471193</v>
      </c>
      <c r="N43" s="591">
        <v>48.54</v>
      </c>
      <c r="O43" s="591">
        <v>579.52580920471189</v>
      </c>
      <c r="P43" s="592">
        <v>36.540121878264017</v>
      </c>
    </row>
    <row r="44" spans="1:16">
      <c r="A44" s="19">
        <v>32</v>
      </c>
      <c r="B44" s="20" t="s">
        <v>1044</v>
      </c>
      <c r="C44" s="592">
        <v>918.89793182356925</v>
      </c>
      <c r="D44" s="588">
        <v>23.071849335439641</v>
      </c>
      <c r="E44" s="588">
        <v>895.74432732261346</v>
      </c>
      <c r="F44" s="588">
        <v>913.76432732261344</v>
      </c>
      <c r="G44" s="588">
        <f t="shared" si="0"/>
        <v>918.51432732261344</v>
      </c>
      <c r="H44" s="588">
        <v>4.75</v>
      </c>
      <c r="I44" s="588">
        <v>5.0518493354396696</v>
      </c>
      <c r="J44" s="592">
        <v>918.78776964560257</v>
      </c>
      <c r="K44" s="588">
        <v>20.722570195649759</v>
      </c>
      <c r="L44" s="591">
        <v>898.06523952740872</v>
      </c>
      <c r="M44" s="591">
        <v>908.19561976370426</v>
      </c>
      <c r="N44" s="591">
        <v>48.54</v>
      </c>
      <c r="O44" s="591">
        <v>956.73561976370422</v>
      </c>
      <c r="P44" s="592">
        <v>10.592189959354187</v>
      </c>
    </row>
    <row r="45" spans="1:16">
      <c r="A45" s="19">
        <v>33</v>
      </c>
      <c r="B45" s="20" t="s">
        <v>857</v>
      </c>
      <c r="C45" s="592">
        <v>491.21466355753404</v>
      </c>
      <c r="D45" s="588">
        <v>12.3335033374894</v>
      </c>
      <c r="E45" s="588">
        <v>474.56519806355448</v>
      </c>
      <c r="F45" s="588">
        <v>472.3191980635545</v>
      </c>
      <c r="G45" s="588">
        <f t="shared" si="0"/>
        <v>477.0691980635545</v>
      </c>
      <c r="H45" s="588">
        <v>4.75</v>
      </c>
      <c r="I45" s="588">
        <v>14.579503337489371</v>
      </c>
      <c r="J45" s="592">
        <v>491.31439299303571</v>
      </c>
      <c r="K45" s="588">
        <v>11.081228258902918</v>
      </c>
      <c r="L45" s="591">
        <v>475.84318616523103</v>
      </c>
      <c r="M45" s="591">
        <v>473.94</v>
      </c>
      <c r="N45" s="591">
        <v>48.54</v>
      </c>
      <c r="O45" s="591">
        <v>522.48</v>
      </c>
      <c r="P45" s="592">
        <v>12.984414424133945</v>
      </c>
    </row>
    <row r="46" spans="1:16">
      <c r="A46" s="19"/>
      <c r="B46" s="29" t="s">
        <v>1051</v>
      </c>
      <c r="C46" s="593">
        <f>SUM(C13:C45)</f>
        <v>32749.49400000001</v>
      </c>
      <c r="D46" s="592">
        <f t="shared" ref="D46:P46" si="1">SUM(D13:D45)</f>
        <v>822.28000000000009</v>
      </c>
      <c r="E46" s="592">
        <f t="shared" si="1"/>
        <v>31774.84</v>
      </c>
      <c r="F46" s="592">
        <f t="shared" si="1"/>
        <v>31655.003325917776</v>
      </c>
      <c r="G46" s="592"/>
      <c r="H46" s="592"/>
      <c r="I46" s="592">
        <f t="shared" si="1"/>
        <v>942.11667408222752</v>
      </c>
      <c r="J46" s="593">
        <f t="shared" si="1"/>
        <v>32749.488769253632</v>
      </c>
      <c r="K46" s="592">
        <f t="shared" si="1"/>
        <v>738.64019778394947</v>
      </c>
      <c r="L46" s="592">
        <f t="shared" si="1"/>
        <v>31812.720000000001</v>
      </c>
      <c r="M46" s="593">
        <f t="shared" si="1"/>
        <v>31782.063959224281</v>
      </c>
      <c r="N46" s="592"/>
      <c r="O46" s="592"/>
      <c r="P46" s="592">
        <f t="shared" si="1"/>
        <v>769.29623855966929</v>
      </c>
    </row>
    <row r="47" spans="1:16" hidden="1">
      <c r="A47" s="3" t="s">
        <v>1052</v>
      </c>
      <c r="B47" s="29" t="s">
        <v>1053</v>
      </c>
      <c r="C47" s="594"/>
      <c r="D47" s="20"/>
      <c r="E47" s="29"/>
      <c r="F47" s="20"/>
      <c r="G47" s="20"/>
      <c r="H47" s="20"/>
      <c r="I47" s="20"/>
      <c r="J47" s="594"/>
      <c r="K47" s="27"/>
      <c r="L47" s="27"/>
      <c r="M47" s="27"/>
      <c r="N47" s="27"/>
      <c r="O47" s="27"/>
      <c r="P47" s="20"/>
    </row>
    <row r="48" spans="1:16" hidden="1">
      <c r="A48" s="595">
        <v>1</v>
      </c>
      <c r="B48" s="20" t="s">
        <v>825</v>
      </c>
      <c r="C48" s="596">
        <v>102.34</v>
      </c>
      <c r="D48" s="29">
        <v>14.514640035737877</v>
      </c>
      <c r="E48" s="29"/>
      <c r="F48" s="20"/>
      <c r="G48" s="20"/>
      <c r="H48" s="20"/>
      <c r="I48" s="20"/>
      <c r="J48" s="596">
        <v>102.34</v>
      </c>
      <c r="K48" s="29">
        <v>180.31</v>
      </c>
      <c r="L48" s="597">
        <v>125.56</v>
      </c>
      <c r="M48" s="27">
        <f>J48+K48+L48</f>
        <v>408.21</v>
      </c>
      <c r="N48" s="27"/>
      <c r="O48" s="27"/>
      <c r="P48" s="20"/>
    </row>
    <row r="49" spans="1:16">
      <c r="A49" s="22" t="s">
        <v>723</v>
      </c>
      <c r="B49" s="23"/>
      <c r="C49" s="23"/>
      <c r="D49" s="23"/>
      <c r="E49" s="23"/>
      <c r="F49" s="23"/>
      <c r="G49" s="23"/>
      <c r="H49" s="23"/>
      <c r="I49" s="23"/>
      <c r="J49" s="23"/>
      <c r="K49" s="23"/>
      <c r="L49" s="23"/>
      <c r="M49" s="23"/>
      <c r="N49" s="23"/>
      <c r="O49" s="23"/>
      <c r="P49" s="23"/>
    </row>
    <row r="50" spans="1:16">
      <c r="A50" s="15"/>
      <c r="B50" s="15"/>
      <c r="C50" s="15"/>
      <c r="D50" s="15"/>
      <c r="E50" s="15"/>
      <c r="F50" s="15"/>
      <c r="G50" s="15"/>
      <c r="H50" s="15"/>
      <c r="I50" s="15"/>
      <c r="J50" s="760"/>
      <c r="K50" s="15"/>
      <c r="L50" s="15"/>
      <c r="M50" s="579"/>
      <c r="N50" s="15"/>
      <c r="O50" s="15"/>
      <c r="P50" s="15"/>
    </row>
    <row r="51" spans="1:16" s="991" customFormat="1" ht="15.75" customHeight="1">
      <c r="A51" s="15" t="s">
        <v>12</v>
      </c>
      <c r="B51" s="15"/>
      <c r="C51" s="15"/>
      <c r="D51" s="15"/>
      <c r="E51" s="15"/>
      <c r="F51" s="15"/>
      <c r="G51" s="15"/>
      <c r="I51" s="1202"/>
      <c r="J51" s="1202"/>
    </row>
    <row r="52" spans="1:16" s="991" customFormat="1" ht="15.6" customHeight="1">
      <c r="L52" s="1040" t="s">
        <v>1106</v>
      </c>
      <c r="M52" s="1040"/>
      <c r="N52" s="1040"/>
      <c r="O52" s="1040"/>
      <c r="P52" s="1040"/>
    </row>
    <row r="53" spans="1:16" s="991" customFormat="1" ht="15.6" customHeight="1">
      <c r="L53" s="1040" t="s">
        <v>481</v>
      </c>
      <c r="M53" s="1040"/>
      <c r="N53" s="1040"/>
      <c r="O53" s="1040"/>
      <c r="P53" s="1040"/>
    </row>
    <row r="54" spans="1:16" s="991" customFormat="1" ht="15.6" customHeight="1">
      <c r="L54" s="1040" t="s">
        <v>1107</v>
      </c>
      <c r="M54" s="1040"/>
      <c r="N54" s="1040"/>
      <c r="O54" s="1040"/>
      <c r="P54" s="1040"/>
    </row>
  </sheetData>
  <mergeCells count="14">
    <mergeCell ref="L54:P54"/>
    <mergeCell ref="K8:P8"/>
    <mergeCell ref="C9:I9"/>
    <mergeCell ref="J9:P9"/>
    <mergeCell ref="A9:A10"/>
    <mergeCell ref="B9:B10"/>
    <mergeCell ref="I51:J51"/>
    <mergeCell ref="L52:P52"/>
    <mergeCell ref="L53:P53"/>
    <mergeCell ref="A7:B7"/>
    <mergeCell ref="A2:P2"/>
    <mergeCell ref="A3:P3"/>
    <mergeCell ref="A5:P5"/>
    <mergeCell ref="F7:P7"/>
  </mergeCells>
  <phoneticPr fontId="0" type="noConversion"/>
  <printOptions horizontalCentered="1"/>
  <pageMargins left="0.70866141732283472" right="0.70866141732283472" top="0.63" bottom="0" header="0.79" footer="0.31496062992125984"/>
  <pageSetup paperSize="9" orientation="landscape"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view="pageBreakPreview" topLeftCell="A37" zoomScale="120" zoomScaleSheetLayoutView="120" workbookViewId="0">
      <selection activeCell="C45" sqref="C45"/>
    </sheetView>
  </sheetViews>
  <sheetFormatPr defaultRowHeight="12.75"/>
  <cols>
    <col min="1" max="1" width="8.7109375" customWidth="1"/>
    <col min="2" max="2" width="11" customWidth="1"/>
    <col min="3" max="3" width="114.5703125" customWidth="1"/>
  </cols>
  <sheetData>
    <row r="1" spans="1:7" ht="18.75" customHeight="1">
      <c r="A1" s="1033" t="s">
        <v>553</v>
      </c>
      <c r="B1" s="1033"/>
      <c r="C1" s="1033"/>
      <c r="D1" s="1033"/>
      <c r="E1" s="241"/>
      <c r="F1" s="241"/>
      <c r="G1" s="241"/>
    </row>
    <row r="2" spans="1:7">
      <c r="A2" s="3" t="s">
        <v>74</v>
      </c>
      <c r="B2" s="3" t="s">
        <v>554</v>
      </c>
      <c r="C2" s="3" t="s">
        <v>555</v>
      </c>
    </row>
    <row r="3" spans="1:7">
      <c r="A3" s="8">
        <v>1</v>
      </c>
      <c r="B3" s="242" t="s">
        <v>556</v>
      </c>
      <c r="C3" s="242" t="s">
        <v>756</v>
      </c>
    </row>
    <row r="4" spans="1:7">
      <c r="A4" s="8">
        <v>2</v>
      </c>
      <c r="B4" s="242" t="s">
        <v>557</v>
      </c>
      <c r="C4" s="242" t="s">
        <v>757</v>
      </c>
    </row>
    <row r="5" spans="1:7">
      <c r="A5" s="8">
        <v>3</v>
      </c>
      <c r="B5" s="242" t="s">
        <v>558</v>
      </c>
      <c r="C5" s="242" t="s">
        <v>758</v>
      </c>
    </row>
    <row r="6" spans="1:7">
      <c r="A6" s="8">
        <v>4</v>
      </c>
      <c r="B6" s="242" t="s">
        <v>559</v>
      </c>
      <c r="C6" s="242" t="s">
        <v>759</v>
      </c>
    </row>
    <row r="7" spans="1:7">
      <c r="A7" s="8">
        <v>5</v>
      </c>
      <c r="B7" s="242" t="s">
        <v>560</v>
      </c>
      <c r="C7" s="242" t="s">
        <v>760</v>
      </c>
    </row>
    <row r="8" spans="1:7">
      <c r="A8" s="8">
        <v>6</v>
      </c>
      <c r="B8" s="242" t="s">
        <v>561</v>
      </c>
      <c r="C8" s="242" t="s">
        <v>761</v>
      </c>
    </row>
    <row r="9" spans="1:7">
      <c r="A9" s="8">
        <v>7</v>
      </c>
      <c r="B9" s="242" t="s">
        <v>562</v>
      </c>
      <c r="C9" s="242" t="s">
        <v>762</v>
      </c>
    </row>
    <row r="10" spans="1:7">
      <c r="A10" s="8">
        <v>8</v>
      </c>
      <c r="B10" s="242" t="s">
        <v>563</v>
      </c>
      <c r="C10" s="242" t="s">
        <v>763</v>
      </c>
    </row>
    <row r="11" spans="1:7">
      <c r="A11" s="8">
        <v>9</v>
      </c>
      <c r="B11" s="242" t="s">
        <v>564</v>
      </c>
      <c r="C11" s="242" t="s">
        <v>565</v>
      </c>
    </row>
    <row r="12" spans="1:7">
      <c r="A12" s="8">
        <v>10</v>
      </c>
      <c r="B12" s="242" t="s">
        <v>750</v>
      </c>
      <c r="C12" s="242" t="s">
        <v>751</v>
      </c>
    </row>
    <row r="13" spans="1:7">
      <c r="A13" s="8">
        <v>11</v>
      </c>
      <c r="B13" s="242" t="s">
        <v>566</v>
      </c>
      <c r="C13" s="242" t="s">
        <v>764</v>
      </c>
    </row>
    <row r="14" spans="1:7">
      <c r="A14" s="8">
        <v>12</v>
      </c>
      <c r="B14" s="242" t="s">
        <v>567</v>
      </c>
      <c r="C14" s="242" t="s">
        <v>765</v>
      </c>
    </row>
    <row r="15" spans="1:7">
      <c r="A15" s="8">
        <v>13</v>
      </c>
      <c r="B15" s="242" t="s">
        <v>568</v>
      </c>
      <c r="C15" s="242" t="s">
        <v>766</v>
      </c>
    </row>
    <row r="16" spans="1:7">
      <c r="A16" s="8">
        <v>14</v>
      </c>
      <c r="B16" s="242" t="s">
        <v>569</v>
      </c>
      <c r="C16" s="242" t="s">
        <v>767</v>
      </c>
    </row>
    <row r="17" spans="1:3">
      <c r="A17" s="8">
        <v>15</v>
      </c>
      <c r="B17" s="242" t="s">
        <v>570</v>
      </c>
      <c r="C17" s="242" t="s">
        <v>755</v>
      </c>
    </row>
    <row r="18" spans="1:3">
      <c r="A18" s="8">
        <v>16</v>
      </c>
      <c r="B18" s="242" t="s">
        <v>571</v>
      </c>
      <c r="C18" s="242" t="s">
        <v>768</v>
      </c>
    </row>
    <row r="19" spans="1:3">
      <c r="A19" s="8">
        <v>17</v>
      </c>
      <c r="B19" s="242" t="s">
        <v>572</v>
      </c>
      <c r="C19" s="242" t="s">
        <v>769</v>
      </c>
    </row>
    <row r="20" spans="1:3">
      <c r="A20" s="8">
        <v>18</v>
      </c>
      <c r="B20" s="242" t="s">
        <v>573</v>
      </c>
      <c r="C20" s="242" t="s">
        <v>770</v>
      </c>
    </row>
    <row r="21" spans="1:3">
      <c r="A21" s="8">
        <v>19</v>
      </c>
      <c r="B21" s="242" t="s">
        <v>574</v>
      </c>
      <c r="C21" s="242" t="s">
        <v>771</v>
      </c>
    </row>
    <row r="22" spans="1:3">
      <c r="A22" s="8">
        <v>20</v>
      </c>
      <c r="B22" s="242" t="s">
        <v>575</v>
      </c>
      <c r="C22" s="242" t="s">
        <v>772</v>
      </c>
    </row>
    <row r="23" spans="1:3">
      <c r="A23" s="8">
        <v>21</v>
      </c>
      <c r="B23" s="242" t="s">
        <v>576</v>
      </c>
      <c r="C23" s="242" t="s">
        <v>773</v>
      </c>
    </row>
    <row r="24" spans="1:3">
      <c r="A24" s="8">
        <v>22</v>
      </c>
      <c r="B24" s="242" t="s">
        <v>577</v>
      </c>
      <c r="C24" s="242" t="s">
        <v>578</v>
      </c>
    </row>
    <row r="25" spans="1:3">
      <c r="A25" s="8">
        <v>23</v>
      </c>
      <c r="B25" s="242" t="s">
        <v>579</v>
      </c>
      <c r="C25" s="242" t="s">
        <v>580</v>
      </c>
    </row>
    <row r="26" spans="1:3">
      <c r="A26" s="8">
        <v>24</v>
      </c>
      <c r="B26" s="242" t="s">
        <v>581</v>
      </c>
      <c r="C26" s="242" t="s">
        <v>774</v>
      </c>
    </row>
    <row r="27" spans="1:3">
      <c r="A27" s="8">
        <v>25</v>
      </c>
      <c r="B27" s="242" t="s">
        <v>582</v>
      </c>
      <c r="C27" s="242" t="s">
        <v>775</v>
      </c>
    </row>
    <row r="28" spans="1:3">
      <c r="A28" s="8">
        <v>26</v>
      </c>
      <c r="B28" s="242" t="s">
        <v>583</v>
      </c>
      <c r="C28" s="242" t="s">
        <v>776</v>
      </c>
    </row>
    <row r="29" spans="1:3">
      <c r="A29" s="8">
        <v>27</v>
      </c>
      <c r="B29" s="242" t="s">
        <v>584</v>
      </c>
      <c r="C29" s="242" t="s">
        <v>585</v>
      </c>
    </row>
    <row r="30" spans="1:3">
      <c r="A30" s="8">
        <v>28</v>
      </c>
      <c r="B30" s="242" t="s">
        <v>586</v>
      </c>
      <c r="C30" s="242" t="s">
        <v>587</v>
      </c>
    </row>
    <row r="31" spans="1:3">
      <c r="A31" s="8">
        <v>29</v>
      </c>
      <c r="B31" s="242" t="s">
        <v>588</v>
      </c>
      <c r="C31" s="242" t="s">
        <v>589</v>
      </c>
    </row>
    <row r="32" spans="1:3">
      <c r="A32" s="8">
        <v>30</v>
      </c>
      <c r="B32" s="242" t="s">
        <v>749</v>
      </c>
      <c r="C32" s="242" t="s">
        <v>748</v>
      </c>
    </row>
    <row r="33" spans="1:3">
      <c r="A33" s="8">
        <v>31</v>
      </c>
      <c r="B33" s="242" t="s">
        <v>821</v>
      </c>
      <c r="C33" s="242" t="s">
        <v>822</v>
      </c>
    </row>
    <row r="34" spans="1:3">
      <c r="A34" s="8">
        <v>32</v>
      </c>
      <c r="B34" s="242" t="s">
        <v>590</v>
      </c>
      <c r="C34" s="242" t="s">
        <v>591</v>
      </c>
    </row>
    <row r="35" spans="1:3">
      <c r="A35" s="8">
        <v>33</v>
      </c>
      <c r="B35" s="242" t="s">
        <v>592</v>
      </c>
      <c r="C35" s="242" t="s">
        <v>591</v>
      </c>
    </row>
    <row r="36" spans="1:3">
      <c r="A36" s="8">
        <v>34</v>
      </c>
      <c r="B36" s="242" t="s">
        <v>593</v>
      </c>
      <c r="C36" s="242" t="s">
        <v>594</v>
      </c>
    </row>
    <row r="37" spans="1:3">
      <c r="A37" s="8">
        <v>35</v>
      </c>
      <c r="B37" s="242" t="s">
        <v>595</v>
      </c>
      <c r="C37" s="242" t="s">
        <v>596</v>
      </c>
    </row>
    <row r="38" spans="1:3">
      <c r="A38" s="8">
        <v>36</v>
      </c>
      <c r="B38" s="242" t="s">
        <v>597</v>
      </c>
      <c r="C38" s="242" t="s">
        <v>598</v>
      </c>
    </row>
    <row r="39" spans="1:3">
      <c r="A39" s="8">
        <v>37</v>
      </c>
      <c r="B39" s="242" t="s">
        <v>599</v>
      </c>
      <c r="C39" s="242" t="s">
        <v>600</v>
      </c>
    </row>
    <row r="40" spans="1:3">
      <c r="A40" s="8">
        <v>38</v>
      </c>
      <c r="B40" s="242" t="s">
        <v>601</v>
      </c>
      <c r="C40" s="242" t="s">
        <v>602</v>
      </c>
    </row>
    <row r="41" spans="1:3">
      <c r="A41" s="8">
        <v>39</v>
      </c>
      <c r="B41" s="242" t="s">
        <v>603</v>
      </c>
      <c r="C41" s="242" t="s">
        <v>604</v>
      </c>
    </row>
    <row r="42" spans="1:3">
      <c r="A42" s="8">
        <v>40</v>
      </c>
      <c r="B42" s="242" t="s">
        <v>605</v>
      </c>
      <c r="C42" s="242" t="s">
        <v>606</v>
      </c>
    </row>
    <row r="43" spans="1:3">
      <c r="A43" s="8">
        <v>41</v>
      </c>
      <c r="B43" s="242" t="s">
        <v>607</v>
      </c>
      <c r="C43" s="242" t="s">
        <v>777</v>
      </c>
    </row>
    <row r="44" spans="1:3">
      <c r="A44" s="8">
        <v>42</v>
      </c>
      <c r="B44" s="242" t="s">
        <v>608</v>
      </c>
      <c r="C44" s="242" t="s">
        <v>609</v>
      </c>
    </row>
    <row r="45" spans="1:3">
      <c r="A45" s="8">
        <v>43</v>
      </c>
      <c r="B45" s="242" t="s">
        <v>610</v>
      </c>
      <c r="C45" s="242" t="s">
        <v>611</v>
      </c>
    </row>
    <row r="46" spans="1:3">
      <c r="A46" s="8">
        <v>44</v>
      </c>
      <c r="B46" s="242" t="s">
        <v>612</v>
      </c>
      <c r="C46" s="242" t="s">
        <v>613</v>
      </c>
    </row>
    <row r="47" spans="1:3">
      <c r="A47" s="8">
        <v>45</v>
      </c>
      <c r="B47" s="242" t="s">
        <v>614</v>
      </c>
      <c r="C47" s="242" t="s">
        <v>615</v>
      </c>
    </row>
    <row r="48" spans="1:3">
      <c r="A48" s="8">
        <v>46</v>
      </c>
      <c r="B48" s="242" t="s">
        <v>616</v>
      </c>
      <c r="C48" s="242" t="s">
        <v>617</v>
      </c>
    </row>
    <row r="49" spans="1:3">
      <c r="A49" s="8">
        <v>47</v>
      </c>
      <c r="B49" s="242" t="s">
        <v>618</v>
      </c>
      <c r="C49" s="242" t="s">
        <v>778</v>
      </c>
    </row>
    <row r="50" spans="1:3">
      <c r="A50" s="8">
        <v>48</v>
      </c>
      <c r="B50" s="242" t="s">
        <v>619</v>
      </c>
      <c r="C50" s="242" t="s">
        <v>779</v>
      </c>
    </row>
    <row r="51" spans="1:3">
      <c r="A51" s="8">
        <v>49</v>
      </c>
      <c r="B51" s="242" t="s">
        <v>620</v>
      </c>
      <c r="C51" s="242" t="s">
        <v>621</v>
      </c>
    </row>
    <row r="52" spans="1:3">
      <c r="A52" s="8">
        <v>50</v>
      </c>
      <c r="B52" s="242" t="s">
        <v>622</v>
      </c>
      <c r="C52" s="242" t="s">
        <v>623</v>
      </c>
    </row>
    <row r="53" spans="1:3">
      <c r="A53" s="8">
        <v>51</v>
      </c>
      <c r="B53" s="242" t="s">
        <v>624</v>
      </c>
      <c r="C53" s="242" t="s">
        <v>804</v>
      </c>
    </row>
    <row r="54" spans="1:3">
      <c r="A54" s="8">
        <v>52</v>
      </c>
      <c r="B54" s="242" t="s">
        <v>625</v>
      </c>
      <c r="C54" s="242" t="s">
        <v>780</v>
      </c>
    </row>
    <row r="55" spans="1:3">
      <c r="A55" s="8">
        <v>53</v>
      </c>
      <c r="B55" s="242" t="s">
        <v>626</v>
      </c>
      <c r="C55" s="242" t="s">
        <v>781</v>
      </c>
    </row>
    <row r="56" spans="1:3">
      <c r="A56" s="8">
        <v>54</v>
      </c>
      <c r="B56" s="242" t="s">
        <v>627</v>
      </c>
      <c r="C56" s="242" t="s">
        <v>782</v>
      </c>
    </row>
    <row r="57" spans="1:3">
      <c r="A57" s="8">
        <v>55</v>
      </c>
      <c r="B57" s="242" t="s">
        <v>628</v>
      </c>
      <c r="C57" s="242" t="s">
        <v>783</v>
      </c>
    </row>
    <row r="58" spans="1:3">
      <c r="A58" s="8">
        <v>56</v>
      </c>
      <c r="B58" s="242" t="s">
        <v>629</v>
      </c>
      <c r="C58" s="242" t="s">
        <v>784</v>
      </c>
    </row>
    <row r="59" spans="1:3">
      <c r="A59" s="8">
        <v>57</v>
      </c>
      <c r="B59" s="242" t="s">
        <v>630</v>
      </c>
      <c r="C59" s="242" t="s">
        <v>785</v>
      </c>
    </row>
    <row r="60" spans="1:3">
      <c r="A60" s="8">
        <v>58</v>
      </c>
      <c r="B60" s="242" t="s">
        <v>631</v>
      </c>
      <c r="C60" s="242" t="s">
        <v>786</v>
      </c>
    </row>
    <row r="61" spans="1:3">
      <c r="A61" s="8">
        <v>59</v>
      </c>
      <c r="B61" s="242" t="s">
        <v>632</v>
      </c>
      <c r="C61" s="242" t="s">
        <v>787</v>
      </c>
    </row>
    <row r="62" spans="1:3">
      <c r="A62" s="8">
        <v>60</v>
      </c>
      <c r="B62" s="242" t="s">
        <v>633</v>
      </c>
      <c r="C62" s="242" t="s">
        <v>788</v>
      </c>
    </row>
    <row r="63" spans="1:3">
      <c r="A63" s="8">
        <v>61</v>
      </c>
      <c r="B63" s="242" t="s">
        <v>634</v>
      </c>
      <c r="C63" s="242" t="s">
        <v>789</v>
      </c>
    </row>
    <row r="64" spans="1:3">
      <c r="A64" s="8">
        <v>62</v>
      </c>
      <c r="B64" s="242" t="s">
        <v>635</v>
      </c>
      <c r="C64" s="242" t="s">
        <v>790</v>
      </c>
    </row>
    <row r="65" spans="1:3">
      <c r="A65" s="8">
        <v>63</v>
      </c>
      <c r="B65" s="254" t="s">
        <v>752</v>
      </c>
      <c r="C65" s="254" t="s">
        <v>753</v>
      </c>
    </row>
    <row r="66" spans="1:3">
      <c r="A66" s="8">
        <v>64</v>
      </c>
      <c r="B66" s="254" t="s">
        <v>754</v>
      </c>
      <c r="C66" s="254" t="s">
        <v>755</v>
      </c>
    </row>
  </sheetData>
  <mergeCells count="1">
    <mergeCell ref="A1:D1"/>
  </mergeCells>
  <printOptions horizontalCentered="1"/>
  <pageMargins left="0.70866141732283472" right="0.70866141732283472" top="0.63" bottom="0" header="0.79"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AH57"/>
  <sheetViews>
    <sheetView topLeftCell="A40" zoomScaleSheetLayoutView="90" workbookViewId="0">
      <selection activeCell="E13" sqref="E13"/>
    </sheetView>
  </sheetViews>
  <sheetFormatPr defaultColWidth="9.28515625" defaultRowHeight="12.75"/>
  <cols>
    <col min="1" max="1" width="6" style="16" customWidth="1"/>
    <col min="2" max="2" width="19.42578125" style="16" customWidth="1"/>
    <col min="3" max="3" width="10.42578125" style="16" customWidth="1"/>
    <col min="4" max="4" width="9.7109375" style="16" customWidth="1"/>
    <col min="5" max="5" width="13.42578125" style="16" customWidth="1"/>
    <col min="6" max="6" width="10.7109375" style="16" customWidth="1"/>
    <col min="7" max="8" width="10.7109375" style="16" hidden="1" customWidth="1"/>
    <col min="9" max="9" width="15.7109375" style="16" customWidth="1"/>
    <col min="10" max="10" width="12.42578125" style="16" customWidth="1"/>
    <col min="11" max="11" width="12.28515625" style="16" customWidth="1"/>
    <col min="12" max="12" width="10.5703125" style="16" customWidth="1"/>
    <col min="13" max="13" width="12.5703125" style="16" customWidth="1"/>
    <col min="14" max="15" width="12.5703125" style="16" hidden="1" customWidth="1"/>
    <col min="16" max="16" width="19" style="16" customWidth="1"/>
    <col min="17" max="17" width="9.28515625" style="16" hidden="1" customWidth="1"/>
    <col min="18" max="24" width="0" style="16" hidden="1" customWidth="1"/>
    <col min="25" max="16384" width="9.28515625" style="16"/>
  </cols>
  <sheetData>
    <row r="1" spans="1:34" customFormat="1" ht="15">
      <c r="A1" s="850"/>
      <c r="B1" s="850"/>
      <c r="C1" s="850"/>
      <c r="D1" s="861"/>
      <c r="E1" s="861"/>
      <c r="F1" s="861"/>
      <c r="G1" s="861"/>
      <c r="H1" s="861"/>
      <c r="I1" s="861"/>
      <c r="J1" s="861"/>
      <c r="K1" s="861"/>
      <c r="L1" s="861"/>
      <c r="M1" s="861"/>
      <c r="N1" s="861"/>
      <c r="O1" s="861"/>
      <c r="P1" s="1215" t="s">
        <v>72</v>
      </c>
      <c r="Q1" s="1215"/>
      <c r="R1" s="1215"/>
      <c r="S1" s="862"/>
      <c r="T1" s="862"/>
      <c r="U1" s="850"/>
      <c r="V1" s="850"/>
      <c r="W1" s="850"/>
      <c r="X1" s="850"/>
      <c r="Y1" s="850"/>
      <c r="Z1" s="850"/>
      <c r="AA1" s="850"/>
      <c r="AB1" s="850"/>
      <c r="AC1" s="850"/>
      <c r="AD1" s="850"/>
      <c r="AE1" s="850"/>
      <c r="AF1" s="850"/>
      <c r="AG1" s="850"/>
      <c r="AH1" s="850"/>
    </row>
    <row r="2" spans="1:34" customFormat="1" ht="15">
      <c r="A2" s="1216" t="s">
        <v>0</v>
      </c>
      <c r="B2" s="1216"/>
      <c r="C2" s="1216"/>
      <c r="D2" s="1216"/>
      <c r="E2" s="1216"/>
      <c r="F2" s="1216"/>
      <c r="G2" s="1216"/>
      <c r="H2" s="1216"/>
      <c r="I2" s="1216"/>
      <c r="J2" s="1216"/>
      <c r="K2" s="1216"/>
      <c r="L2" s="1216"/>
      <c r="M2" s="1216"/>
      <c r="N2" s="1216"/>
      <c r="O2" s="1216"/>
      <c r="P2" s="1216"/>
      <c r="Q2" s="864"/>
      <c r="R2" s="864"/>
      <c r="S2" s="864"/>
      <c r="T2" s="864"/>
      <c r="U2" s="850"/>
      <c r="V2" s="850"/>
      <c r="W2" s="850"/>
      <c r="X2" s="850"/>
      <c r="Y2" s="850"/>
      <c r="Z2" s="850"/>
      <c r="AA2" s="850"/>
      <c r="AB2" s="850"/>
      <c r="AC2" s="850"/>
      <c r="AD2" s="850"/>
      <c r="AE2" s="850"/>
      <c r="AF2" s="850"/>
      <c r="AG2" s="850"/>
      <c r="AH2" s="850"/>
    </row>
    <row r="3" spans="1:34" customFormat="1" ht="20.25">
      <c r="A3" s="1217" t="s">
        <v>636</v>
      </c>
      <c r="B3" s="1217"/>
      <c r="C3" s="1217"/>
      <c r="D3" s="1217"/>
      <c r="E3" s="1217"/>
      <c r="F3" s="1217"/>
      <c r="G3" s="1217"/>
      <c r="H3" s="1217"/>
      <c r="I3" s="1217"/>
      <c r="J3" s="1217"/>
      <c r="K3" s="1217"/>
      <c r="L3" s="1217"/>
      <c r="M3" s="1217"/>
      <c r="N3" s="1217"/>
      <c r="O3" s="1217"/>
      <c r="P3" s="1217"/>
      <c r="Q3" s="863"/>
      <c r="R3" s="863"/>
      <c r="S3" s="863"/>
      <c r="T3" s="863"/>
      <c r="U3" s="850"/>
      <c r="V3" s="850"/>
      <c r="W3" s="850"/>
      <c r="X3" s="850"/>
      <c r="Y3" s="850"/>
      <c r="Z3" s="850"/>
      <c r="AA3" s="850"/>
      <c r="AB3" s="850"/>
      <c r="AC3" s="850"/>
      <c r="AD3" s="850"/>
      <c r="AE3" s="850"/>
      <c r="AF3" s="850"/>
      <c r="AG3" s="850"/>
      <c r="AH3" s="850"/>
    </row>
    <row r="4" spans="1:34" customFormat="1" ht="10.5" customHeight="1">
      <c r="A4" s="850"/>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row>
    <row r="5" spans="1:34" ht="19.5" customHeight="1">
      <c r="A5" s="1218" t="s">
        <v>726</v>
      </c>
      <c r="B5" s="1218"/>
      <c r="C5" s="1218"/>
      <c r="D5" s="1218"/>
      <c r="E5" s="1218"/>
      <c r="F5" s="1218"/>
      <c r="G5" s="1218"/>
      <c r="H5" s="1218"/>
      <c r="I5" s="1218"/>
      <c r="J5" s="1218"/>
      <c r="K5" s="1218"/>
      <c r="L5" s="1218"/>
      <c r="M5" s="1218"/>
      <c r="N5" s="1218"/>
      <c r="O5" s="1218"/>
      <c r="P5" s="1218"/>
      <c r="Q5" s="850"/>
      <c r="R5" s="850"/>
      <c r="S5" s="850"/>
      <c r="T5" s="850"/>
      <c r="U5" s="850"/>
      <c r="V5" s="850"/>
      <c r="W5" s="850"/>
      <c r="X5" s="850"/>
      <c r="Y5" s="850"/>
      <c r="Z5" s="850"/>
      <c r="AA5" s="850"/>
      <c r="AB5" s="850"/>
      <c r="AC5" s="850"/>
      <c r="AD5" s="850"/>
      <c r="AE5" s="850"/>
      <c r="AF5" s="850"/>
      <c r="AG5" s="850"/>
      <c r="AH5" s="850"/>
    </row>
    <row r="6" spans="1:34">
      <c r="A6" s="858"/>
      <c r="B6" s="858"/>
      <c r="C6" s="858"/>
      <c r="D6" s="858"/>
      <c r="E6" s="858"/>
      <c r="F6" s="858"/>
      <c r="G6" s="858"/>
      <c r="H6" s="858"/>
      <c r="I6" s="858"/>
      <c r="J6" s="858"/>
      <c r="K6" s="858"/>
      <c r="L6" s="858"/>
      <c r="M6" s="858"/>
      <c r="N6" s="858"/>
      <c r="O6" s="858"/>
      <c r="P6" s="858"/>
      <c r="Q6" s="850"/>
      <c r="R6" s="850"/>
      <c r="S6" s="850"/>
      <c r="T6" s="850"/>
      <c r="U6" s="850"/>
      <c r="V6" s="850"/>
      <c r="W6" s="850"/>
      <c r="X6" s="850"/>
      <c r="Y6" s="850"/>
      <c r="Z6" s="850"/>
      <c r="AA6" s="850"/>
      <c r="AB6" s="850"/>
      <c r="AC6" s="850"/>
      <c r="AD6" s="850"/>
      <c r="AE6" s="850"/>
      <c r="AF6" s="850"/>
      <c r="AG6" s="850"/>
      <c r="AH6" s="850"/>
    </row>
    <row r="7" spans="1:34">
      <c r="A7" s="1220" t="s">
        <v>1047</v>
      </c>
      <c r="B7" s="1220"/>
      <c r="C7" s="850"/>
      <c r="D7" s="850"/>
      <c r="E7" s="850"/>
      <c r="F7" s="1219" t="s">
        <v>20</v>
      </c>
      <c r="G7" s="1219"/>
      <c r="H7" s="1219"/>
      <c r="I7" s="1219"/>
      <c r="J7" s="1219"/>
      <c r="K7" s="1219"/>
      <c r="L7" s="1219"/>
      <c r="M7" s="1219"/>
      <c r="N7" s="1219"/>
      <c r="O7" s="1219"/>
      <c r="P7" s="1219"/>
      <c r="Q7" s="850"/>
      <c r="R7" s="850"/>
      <c r="S7" s="850"/>
      <c r="T7" s="850"/>
      <c r="U7" s="850"/>
      <c r="V7" s="850"/>
      <c r="W7" s="850"/>
      <c r="X7" s="850"/>
      <c r="Y7" s="850"/>
      <c r="Z7" s="850"/>
      <c r="AA7" s="850"/>
      <c r="AB7" s="850"/>
      <c r="AC7" s="850"/>
      <c r="AD7" s="850"/>
      <c r="AE7" s="850"/>
      <c r="AF7" s="850"/>
      <c r="AG7" s="850"/>
      <c r="AH7" s="850"/>
    </row>
    <row r="8" spans="1:34">
      <c r="A8" s="854"/>
      <c r="B8" s="850"/>
      <c r="C8" s="850"/>
      <c r="D8" s="850"/>
      <c r="E8" s="850"/>
      <c r="F8" s="856"/>
      <c r="G8" s="856"/>
      <c r="H8" s="856"/>
      <c r="I8" s="865"/>
      <c r="J8" s="865"/>
      <c r="K8" s="1221" t="s">
        <v>793</v>
      </c>
      <c r="L8" s="1221"/>
      <c r="M8" s="1221"/>
      <c r="N8" s="1221"/>
      <c r="O8" s="1221"/>
      <c r="P8" s="1221"/>
      <c r="Q8" s="850"/>
      <c r="R8" s="850"/>
      <c r="S8" s="850"/>
      <c r="T8" s="850"/>
      <c r="U8" s="850"/>
      <c r="V8" s="850"/>
      <c r="W8" s="850"/>
      <c r="X8" s="850"/>
      <c r="Y8" s="850"/>
      <c r="Z8" s="850"/>
      <c r="AA8" s="850"/>
      <c r="AB8" s="850"/>
      <c r="AC8" s="850"/>
      <c r="AD8" s="850"/>
      <c r="AE8" s="850"/>
      <c r="AF8" s="850"/>
      <c r="AG8" s="850"/>
      <c r="AH8" s="850"/>
    </row>
    <row r="9" spans="1:34" s="15" customFormat="1">
      <c r="A9" s="1226" t="s">
        <v>2</v>
      </c>
      <c r="B9" s="1226" t="s">
        <v>3</v>
      </c>
      <c r="C9" s="1223" t="s">
        <v>21</v>
      </c>
      <c r="D9" s="1224"/>
      <c r="E9" s="1224"/>
      <c r="F9" s="1224"/>
      <c r="G9" s="1224"/>
      <c r="H9" s="1224"/>
      <c r="I9" s="1224"/>
      <c r="J9" s="1223" t="s">
        <v>43</v>
      </c>
      <c r="K9" s="1224"/>
      <c r="L9" s="1224"/>
      <c r="M9" s="1224"/>
      <c r="N9" s="1224"/>
      <c r="O9" s="1224"/>
      <c r="P9" s="1225"/>
      <c r="Q9" s="854"/>
      <c r="R9" s="854"/>
      <c r="S9" s="854"/>
      <c r="T9" s="854"/>
      <c r="U9" s="854"/>
      <c r="V9" s="859"/>
      <c r="W9" s="860"/>
      <c r="X9" s="854"/>
      <c r="Y9" s="854"/>
      <c r="Z9" s="854"/>
      <c r="AA9" s="854"/>
      <c r="AB9" s="854"/>
      <c r="AC9" s="854"/>
      <c r="AD9" s="854"/>
      <c r="AE9" s="854"/>
      <c r="AF9" s="854"/>
      <c r="AG9" s="854"/>
      <c r="AH9" s="854"/>
    </row>
    <row r="10" spans="1:34" s="15" customFormat="1" ht="77.45" customHeight="1">
      <c r="A10" s="1226"/>
      <c r="B10" s="1226"/>
      <c r="C10" s="852" t="s">
        <v>651</v>
      </c>
      <c r="D10" s="852" t="s">
        <v>653</v>
      </c>
      <c r="E10" s="852" t="s">
        <v>70</v>
      </c>
      <c r="F10" s="852" t="s">
        <v>71</v>
      </c>
      <c r="G10" s="852"/>
      <c r="H10" s="852"/>
      <c r="I10" s="852" t="s">
        <v>724</v>
      </c>
      <c r="J10" s="852" t="s">
        <v>651</v>
      </c>
      <c r="K10" s="852" t="s">
        <v>653</v>
      </c>
      <c r="L10" s="852" t="s">
        <v>70</v>
      </c>
      <c r="M10" s="852" t="s">
        <v>71</v>
      </c>
      <c r="N10" s="852"/>
      <c r="O10" s="852"/>
      <c r="P10" s="852" t="s">
        <v>725</v>
      </c>
      <c r="Q10" s="854"/>
      <c r="R10" s="854"/>
      <c r="S10" s="854"/>
      <c r="T10" s="854"/>
      <c r="U10" s="854"/>
      <c r="V10" s="854"/>
      <c r="W10" s="854"/>
      <c r="X10" s="854"/>
      <c r="Y10" s="854"/>
      <c r="Z10" s="854"/>
      <c r="AA10" s="854"/>
      <c r="AB10" s="854"/>
      <c r="AC10" s="854"/>
      <c r="AD10" s="854"/>
      <c r="AE10" s="854"/>
      <c r="AF10" s="854"/>
      <c r="AG10" s="854"/>
      <c r="AH10" s="854"/>
    </row>
    <row r="11" spans="1:34" s="15" customFormat="1">
      <c r="A11" s="852">
        <v>1</v>
      </c>
      <c r="B11" s="852">
        <v>2</v>
      </c>
      <c r="C11" s="852">
        <v>3</v>
      </c>
      <c r="D11" s="852">
        <v>4</v>
      </c>
      <c r="E11" s="852">
        <v>5</v>
      </c>
      <c r="F11" s="852">
        <v>6</v>
      </c>
      <c r="G11" s="852"/>
      <c r="H11" s="852"/>
      <c r="I11" s="852">
        <v>7</v>
      </c>
      <c r="J11" s="852">
        <v>8</v>
      </c>
      <c r="K11" s="852">
        <v>9</v>
      </c>
      <c r="L11" s="852">
        <v>10</v>
      </c>
      <c r="M11" s="852">
        <v>11</v>
      </c>
      <c r="N11" s="852"/>
      <c r="O11" s="852"/>
      <c r="P11" s="852">
        <v>12</v>
      </c>
      <c r="Q11" s="854"/>
      <c r="R11" s="854"/>
      <c r="S11" s="854"/>
      <c r="T11" s="854"/>
      <c r="U11" s="854"/>
      <c r="V11" s="854"/>
      <c r="W11" s="854"/>
      <c r="X11" s="854"/>
      <c r="Y11" s="854"/>
      <c r="Z11" s="854"/>
      <c r="AA11" s="854"/>
      <c r="AB11" s="854"/>
      <c r="AC11" s="854"/>
      <c r="AD11" s="854"/>
      <c r="AE11" s="854"/>
      <c r="AF11" s="854"/>
      <c r="AG11" s="854"/>
      <c r="AH11" s="854"/>
    </row>
    <row r="12" spans="1:34" s="15" customFormat="1" ht="13.15" hidden="1" customHeight="1">
      <c r="A12" s="852"/>
      <c r="B12" s="852"/>
      <c r="C12" s="852" t="s">
        <v>21</v>
      </c>
      <c r="D12" s="852" t="s">
        <v>1049</v>
      </c>
      <c r="E12" s="852" t="s">
        <v>1049</v>
      </c>
      <c r="F12" s="852"/>
      <c r="G12" s="852"/>
      <c r="H12" s="852"/>
      <c r="I12" s="852"/>
      <c r="J12" s="853" t="s">
        <v>1050</v>
      </c>
      <c r="K12" s="853" t="s">
        <v>1050</v>
      </c>
      <c r="L12" s="853" t="s">
        <v>1050</v>
      </c>
      <c r="M12" s="853"/>
      <c r="N12" s="853"/>
      <c r="O12" s="853"/>
      <c r="P12" s="852"/>
      <c r="Q12" s="854"/>
      <c r="R12" s="854"/>
      <c r="S12" s="854"/>
      <c r="T12" s="854"/>
      <c r="U12" s="854"/>
      <c r="V12" s="854"/>
      <c r="W12" s="854"/>
      <c r="X12" s="854"/>
      <c r="Y12" s="854"/>
      <c r="Z12" s="854"/>
      <c r="AA12" s="854"/>
      <c r="AB12" s="854"/>
      <c r="AC12" s="854"/>
      <c r="AD12" s="854"/>
      <c r="AE12" s="854"/>
      <c r="AF12" s="854"/>
      <c r="AG12" s="854"/>
      <c r="AH12" s="854"/>
    </row>
    <row r="13" spans="1:34" s="15" customFormat="1">
      <c r="A13" s="852">
        <v>1</v>
      </c>
      <c r="B13" s="857" t="s">
        <v>825</v>
      </c>
      <c r="C13" s="868">
        <v>2249.7927375700333</v>
      </c>
      <c r="D13" s="870">
        <v>60.693286747405111</v>
      </c>
      <c r="E13" s="868">
        <v>2189.0600045682568</v>
      </c>
      <c r="F13" s="868">
        <v>2180.1700022841301</v>
      </c>
      <c r="G13" s="868">
        <v>8.8900022841266946</v>
      </c>
      <c r="H13" s="868">
        <v>2189.0600045682568</v>
      </c>
      <c r="I13" s="868">
        <v>69.583289031531876</v>
      </c>
      <c r="J13" s="868">
        <v>2250.4684295601423</v>
      </c>
      <c r="K13" s="868">
        <v>46.084552648334423</v>
      </c>
      <c r="L13" s="869">
        <v>2204.3586540986671</v>
      </c>
      <c r="M13" s="869">
        <v>2206.34932704933</v>
      </c>
      <c r="N13" s="872">
        <v>6.97</v>
      </c>
      <c r="O13" s="872">
        <v>2213.3193270493298</v>
      </c>
      <c r="P13" s="868">
        <v>44.093879697671582</v>
      </c>
      <c r="Q13" s="854"/>
      <c r="R13" s="854"/>
      <c r="S13" s="854">
        <v>568.42000228412849</v>
      </c>
      <c r="T13" s="867">
        <v>2748.5900045682583</v>
      </c>
      <c r="U13" s="854"/>
      <c r="V13" s="854">
        <v>576.06932704933354</v>
      </c>
      <c r="W13" s="854">
        <v>2782.4186540986634</v>
      </c>
      <c r="X13" s="854"/>
      <c r="Y13" s="854"/>
      <c r="Z13" s="854"/>
      <c r="AA13" s="867"/>
      <c r="AB13" s="854"/>
      <c r="AC13" s="867"/>
      <c r="AD13" s="854"/>
      <c r="AE13" s="854"/>
      <c r="AF13" s="867"/>
      <c r="AG13" s="854"/>
      <c r="AH13" s="867"/>
    </row>
    <row r="14" spans="1:34" s="15" customFormat="1">
      <c r="A14" s="852">
        <v>2</v>
      </c>
      <c r="B14" s="857" t="s">
        <v>826</v>
      </c>
      <c r="C14" s="868">
        <v>592.35787621773034</v>
      </c>
      <c r="D14" s="870">
        <v>15.980203792993827</v>
      </c>
      <c r="E14" s="868">
        <v>576.36457168926563</v>
      </c>
      <c r="F14" s="868">
        <v>581.53728584463283</v>
      </c>
      <c r="G14" s="868">
        <v>-5.1727141553672027</v>
      </c>
      <c r="H14" s="868">
        <v>576.36457168926563</v>
      </c>
      <c r="I14" s="868">
        <v>10.807489637626645</v>
      </c>
      <c r="J14" s="868">
        <v>592.65790796410806</v>
      </c>
      <c r="K14" s="868">
        <v>12.136306469920987</v>
      </c>
      <c r="L14" s="869">
        <v>580.51495909944265</v>
      </c>
      <c r="M14" s="869">
        <v>588.54247954972129</v>
      </c>
      <c r="N14" s="872">
        <v>6.97</v>
      </c>
      <c r="O14" s="872">
        <v>595.51247954972132</v>
      </c>
      <c r="P14" s="868">
        <v>4.1087860196423662</v>
      </c>
      <c r="Q14" s="854"/>
      <c r="R14" s="854"/>
      <c r="S14" s="854">
        <v>154.20728584463285</v>
      </c>
      <c r="T14" s="867">
        <v>735.74457168926574</v>
      </c>
      <c r="U14" s="854"/>
      <c r="V14" s="854">
        <v>156.28247954972133</v>
      </c>
      <c r="W14" s="854">
        <v>744.82495909944259</v>
      </c>
      <c r="X14" s="854"/>
      <c r="Y14" s="854"/>
      <c r="Z14" s="854"/>
      <c r="AA14" s="867"/>
      <c r="AB14" s="854"/>
      <c r="AC14" s="867"/>
      <c r="AD14" s="854"/>
      <c r="AE14" s="854"/>
      <c r="AF14" s="867"/>
      <c r="AG14" s="854"/>
      <c r="AH14" s="867"/>
    </row>
    <row r="15" spans="1:34" s="15" customFormat="1">
      <c r="A15" s="852">
        <v>3</v>
      </c>
      <c r="B15" s="857" t="s">
        <v>827</v>
      </c>
      <c r="C15" s="868">
        <v>1295.9237073279876</v>
      </c>
      <c r="D15" s="870">
        <v>34.960495630620038</v>
      </c>
      <c r="E15" s="868">
        <v>1190.0309771672653</v>
      </c>
      <c r="F15" s="868">
        <v>1188.7509771672653</v>
      </c>
      <c r="G15" s="868">
        <v>1.2799999999999727</v>
      </c>
      <c r="H15" s="868">
        <v>1190.0309771672653</v>
      </c>
      <c r="I15" s="868">
        <v>36.240495630619989</v>
      </c>
      <c r="J15" s="868">
        <v>1296.103163447199</v>
      </c>
      <c r="K15" s="868">
        <v>26.541289666182802</v>
      </c>
      <c r="L15" s="869">
        <v>1189.257347308454</v>
      </c>
      <c r="M15" s="869">
        <v>1193.3773473084539</v>
      </c>
      <c r="N15" s="872">
        <v>6.97</v>
      </c>
      <c r="O15" s="872">
        <v>1200.3473473084539</v>
      </c>
      <c r="P15" s="868">
        <v>22.421289666182929</v>
      </c>
      <c r="Q15" s="854"/>
      <c r="R15" s="854"/>
      <c r="S15" s="854">
        <v>320.14048858363265</v>
      </c>
      <c r="T15" s="867">
        <v>1508.8914657508981</v>
      </c>
      <c r="U15" s="854"/>
      <c r="V15" s="854">
        <v>324.44867365422692</v>
      </c>
      <c r="W15" s="854">
        <v>1517.8260209626808</v>
      </c>
      <c r="X15" s="854"/>
      <c r="Y15" s="854"/>
      <c r="Z15" s="854"/>
      <c r="AA15" s="867"/>
      <c r="AB15" s="854"/>
      <c r="AC15" s="867"/>
      <c r="AD15" s="854"/>
      <c r="AE15" s="854"/>
      <c r="AF15" s="867"/>
      <c r="AG15" s="854"/>
      <c r="AH15" s="867"/>
    </row>
    <row r="16" spans="1:34" s="15" customFormat="1">
      <c r="A16" s="852">
        <v>4</v>
      </c>
      <c r="B16" s="857" t="s">
        <v>828</v>
      </c>
      <c r="C16" s="868">
        <v>1104.8760310581506</v>
      </c>
      <c r="D16" s="870">
        <v>29.806549133844271</v>
      </c>
      <c r="E16" s="868">
        <v>1075.0502173952875</v>
      </c>
      <c r="F16" s="868">
        <v>1050.5601086976437</v>
      </c>
      <c r="G16" s="868">
        <v>24.490108697643791</v>
      </c>
      <c r="H16" s="868">
        <v>1075.0502173952875</v>
      </c>
      <c r="I16" s="868">
        <v>54.296657831488119</v>
      </c>
      <c r="J16" s="868">
        <v>1104.703719412182</v>
      </c>
      <c r="K16" s="868">
        <v>22.621857764968496</v>
      </c>
      <c r="L16" s="869">
        <v>1082.0694803424483</v>
      </c>
      <c r="M16" s="869">
        <v>1087.0897401712241</v>
      </c>
      <c r="N16" s="872">
        <v>6.97</v>
      </c>
      <c r="O16" s="872">
        <v>1094.0597401712241</v>
      </c>
      <c r="P16" s="868">
        <v>17.601597936192775</v>
      </c>
      <c r="Q16" s="854"/>
      <c r="R16" s="854"/>
      <c r="S16" s="854">
        <v>260.80010869764368</v>
      </c>
      <c r="T16" s="867">
        <v>1311.3602173952875</v>
      </c>
      <c r="U16" s="854"/>
      <c r="V16" s="854">
        <v>264.30974017122418</v>
      </c>
      <c r="W16" s="854">
        <v>1351.3994803424482</v>
      </c>
      <c r="X16" s="854"/>
      <c r="Y16" s="854"/>
      <c r="Z16" s="854"/>
      <c r="AA16" s="867"/>
      <c r="AB16" s="854"/>
      <c r="AC16" s="867"/>
      <c r="AD16" s="854"/>
      <c r="AE16" s="854"/>
      <c r="AF16" s="867"/>
      <c r="AG16" s="854"/>
      <c r="AH16" s="867"/>
    </row>
    <row r="17" spans="1:34" s="15" customFormat="1">
      <c r="A17" s="852">
        <v>5</v>
      </c>
      <c r="B17" s="857" t="s">
        <v>829</v>
      </c>
      <c r="C17" s="868">
        <v>2306.3229429777907</v>
      </c>
      <c r="D17" s="870">
        <v>62.218317880010019</v>
      </c>
      <c r="E17" s="868">
        <v>2244.0683706835162</v>
      </c>
      <c r="F17" s="868">
        <v>2247.9241853417584</v>
      </c>
      <c r="G17" s="868">
        <v>-3.8558146582422523</v>
      </c>
      <c r="H17" s="868">
        <v>2244.0683706835162</v>
      </c>
      <c r="I17" s="868">
        <v>58.362503221767838</v>
      </c>
      <c r="J17" s="868">
        <v>2306.7789507382586</v>
      </c>
      <c r="K17" s="868">
        <v>47.237665993006075</v>
      </c>
      <c r="L17" s="869">
        <v>2259.5154308147253</v>
      </c>
      <c r="M17" s="869">
        <v>2245.5677154073628</v>
      </c>
      <c r="N17" s="872">
        <v>6.97</v>
      </c>
      <c r="O17" s="872">
        <v>2252.5377154073626</v>
      </c>
      <c r="P17" s="868">
        <v>61.185381400368442</v>
      </c>
      <c r="Q17" s="854"/>
      <c r="R17" s="854"/>
      <c r="S17" s="854">
        <v>573.93418534175817</v>
      </c>
      <c r="T17" s="867">
        <v>2821.8583706835166</v>
      </c>
      <c r="U17" s="854"/>
      <c r="V17" s="854">
        <v>581.65771540736273</v>
      </c>
      <c r="W17" s="854">
        <v>2827.2254308147258</v>
      </c>
      <c r="X17" s="854"/>
      <c r="Y17" s="854"/>
      <c r="Z17" s="854"/>
      <c r="AA17" s="867"/>
      <c r="AB17" s="854"/>
      <c r="AC17" s="867"/>
      <c r="AD17" s="854"/>
      <c r="AE17" s="854"/>
      <c r="AF17" s="867"/>
      <c r="AG17" s="854"/>
      <c r="AH17" s="867"/>
    </row>
    <row r="18" spans="1:34" s="15" customFormat="1">
      <c r="A18" s="852">
        <v>6</v>
      </c>
      <c r="B18" s="857" t="s">
        <v>830</v>
      </c>
      <c r="C18" s="868">
        <v>673.46306967201997</v>
      </c>
      <c r="D18" s="870">
        <v>18.168201238634854</v>
      </c>
      <c r="E18" s="868">
        <v>655.28611946114108</v>
      </c>
      <c r="F18" s="868">
        <v>651.03305973057059</v>
      </c>
      <c r="G18" s="868">
        <v>4.2530597305704987</v>
      </c>
      <c r="H18" s="868">
        <v>655.28611946114108</v>
      </c>
      <c r="I18" s="868">
        <v>22.421260969205377</v>
      </c>
      <c r="J18" s="868">
        <v>673.42087740664056</v>
      </c>
      <c r="K18" s="868">
        <v>13.79015118439124</v>
      </c>
      <c r="L18" s="869">
        <v>659.62317865182672</v>
      </c>
      <c r="M18" s="869">
        <v>656.25417865182669</v>
      </c>
      <c r="N18" s="872">
        <v>6.97</v>
      </c>
      <c r="O18" s="872">
        <v>663.22417865182672</v>
      </c>
      <c r="P18" s="868">
        <v>17.159151184391249</v>
      </c>
      <c r="Q18" s="854"/>
      <c r="R18" s="854"/>
      <c r="S18" s="854">
        <v>161.14305973057054</v>
      </c>
      <c r="T18" s="867">
        <v>812.17611946114107</v>
      </c>
      <c r="U18" s="854"/>
      <c r="V18" s="854">
        <v>163.31158932591339</v>
      </c>
      <c r="W18" s="854">
        <v>819.56576797774005</v>
      </c>
      <c r="X18" s="854"/>
      <c r="Y18" s="854"/>
      <c r="Z18" s="854"/>
      <c r="AA18" s="867"/>
      <c r="AB18" s="854"/>
      <c r="AC18" s="867"/>
      <c r="AD18" s="854"/>
      <c r="AE18" s="854"/>
      <c r="AF18" s="867"/>
      <c r="AG18" s="854"/>
      <c r="AH18" s="867"/>
    </row>
    <row r="19" spans="1:34" s="15" customFormat="1">
      <c r="A19" s="852">
        <v>7</v>
      </c>
      <c r="B19" s="857" t="s">
        <v>831</v>
      </c>
      <c r="C19" s="868">
        <v>424.24413670631304</v>
      </c>
      <c r="D19" s="870">
        <v>11.44495251052879</v>
      </c>
      <c r="E19" s="868">
        <v>394.1479319964871</v>
      </c>
      <c r="F19" s="868">
        <v>377.65393199648713</v>
      </c>
      <c r="G19" s="868">
        <v>16.493999999999971</v>
      </c>
      <c r="H19" s="868">
        <v>394.1479319964871</v>
      </c>
      <c r="I19" s="868">
        <v>27.938952510528736</v>
      </c>
      <c r="J19" s="868">
        <v>421.27386545119703</v>
      </c>
      <c r="K19" s="868">
        <v>8.626745159694412</v>
      </c>
      <c r="L19" s="869">
        <v>396.81350045743642</v>
      </c>
      <c r="M19" s="869">
        <v>384.37950045743645</v>
      </c>
      <c r="N19" s="872">
        <v>6.97</v>
      </c>
      <c r="O19" s="872">
        <v>391.34950045743648</v>
      </c>
      <c r="P19" s="868">
        <v>21.060745159694363</v>
      </c>
      <c r="Q19" s="854"/>
      <c r="R19" s="854"/>
      <c r="S19" s="854">
        <v>99.03896599824354</v>
      </c>
      <c r="T19" s="867">
        <v>476.69289799473069</v>
      </c>
      <c r="U19" s="854"/>
      <c r="V19" s="854">
        <v>100.37175022871821</v>
      </c>
      <c r="W19" s="854">
        <v>484.75125068615466</v>
      </c>
      <c r="X19" s="854"/>
      <c r="Y19" s="854"/>
      <c r="Z19" s="854"/>
      <c r="AA19" s="867"/>
      <c r="AB19" s="854"/>
      <c r="AC19" s="867"/>
      <c r="AD19" s="854"/>
      <c r="AE19" s="854"/>
      <c r="AF19" s="867"/>
      <c r="AG19" s="854"/>
      <c r="AH19" s="867"/>
    </row>
    <row r="20" spans="1:34" s="15" customFormat="1">
      <c r="A20" s="852">
        <v>8</v>
      </c>
      <c r="B20" s="857" t="s">
        <v>832</v>
      </c>
      <c r="C20" s="868">
        <v>1563.0741593366424</v>
      </c>
      <c r="D20" s="870">
        <v>42.167487953820853</v>
      </c>
      <c r="E20" s="868">
        <v>1520.878527946373</v>
      </c>
      <c r="F20" s="868">
        <v>1525.1092639731867</v>
      </c>
      <c r="G20" s="868">
        <v>-4.2307360268137018</v>
      </c>
      <c r="H20" s="868">
        <v>1520.878527946373</v>
      </c>
      <c r="I20" s="868">
        <v>37.936751927007208</v>
      </c>
      <c r="J20" s="868">
        <v>1561.4977627168894</v>
      </c>
      <c r="K20" s="868">
        <v>31.97597660601166</v>
      </c>
      <c r="L20" s="869">
        <v>1529.5042851471799</v>
      </c>
      <c r="M20" s="869">
        <v>1518.5321425735899</v>
      </c>
      <c r="N20" s="872">
        <v>6.97</v>
      </c>
      <c r="O20" s="872">
        <v>1525.5021425735899</v>
      </c>
      <c r="P20" s="868">
        <v>42.94811917960169</v>
      </c>
      <c r="Q20" s="854"/>
      <c r="R20" s="854"/>
      <c r="S20" s="854">
        <v>320.4892639731865</v>
      </c>
      <c r="T20" s="867">
        <v>1845.5985279463732</v>
      </c>
      <c r="U20" s="854"/>
      <c r="V20" s="854">
        <v>324.80214257358983</v>
      </c>
      <c r="W20" s="854">
        <v>1843.3342851471798</v>
      </c>
      <c r="X20" s="854"/>
      <c r="Y20" s="854"/>
      <c r="Z20" s="854"/>
      <c r="AA20" s="867"/>
      <c r="AB20" s="854"/>
      <c r="AC20" s="867"/>
      <c r="AD20" s="854"/>
      <c r="AE20" s="854"/>
      <c r="AF20" s="867"/>
      <c r="AG20" s="854"/>
      <c r="AH20" s="867"/>
    </row>
    <row r="21" spans="1:34" s="15" customFormat="1">
      <c r="A21" s="852">
        <v>9</v>
      </c>
      <c r="B21" s="857" t="s">
        <v>833</v>
      </c>
      <c r="C21" s="868">
        <v>1045.5061769716749</v>
      </c>
      <c r="D21" s="870">
        <v>28.204912006099786</v>
      </c>
      <c r="E21" s="868">
        <v>1017.2858654953689</v>
      </c>
      <c r="F21" s="868">
        <v>999.25293274768433</v>
      </c>
      <c r="G21" s="868">
        <v>18.032932747684526</v>
      </c>
      <c r="H21" s="868">
        <v>1017.2858654953689</v>
      </c>
      <c r="I21" s="868">
        <v>46.237844753784202</v>
      </c>
      <c r="J21" s="868">
        <v>1045.6921387733914</v>
      </c>
      <c r="K21" s="868">
        <v>21.413432772603105</v>
      </c>
      <c r="L21" s="869">
        <v>1024.2669860863596</v>
      </c>
      <c r="M21" s="869">
        <v>991.29349304317975</v>
      </c>
      <c r="N21" s="872">
        <v>6.97</v>
      </c>
      <c r="O21" s="872">
        <v>998.26349304317978</v>
      </c>
      <c r="P21" s="868">
        <v>54.386925815782888</v>
      </c>
      <c r="Q21" s="854"/>
      <c r="R21" s="854"/>
      <c r="S21" s="854">
        <v>259.38293274768438</v>
      </c>
      <c r="T21" s="867">
        <v>1258.6358654953688</v>
      </c>
      <c r="U21" s="854"/>
      <c r="V21" s="854">
        <v>262.87349304317979</v>
      </c>
      <c r="W21" s="854">
        <v>1254.1669860863594</v>
      </c>
      <c r="X21" s="854"/>
      <c r="Y21" s="854"/>
      <c r="Z21" s="854"/>
      <c r="AA21" s="867"/>
      <c r="AB21" s="854"/>
      <c r="AC21" s="867"/>
      <c r="AD21" s="854"/>
      <c r="AE21" s="854"/>
      <c r="AF21" s="867"/>
      <c r="AG21" s="854"/>
      <c r="AH21" s="867"/>
    </row>
    <row r="22" spans="1:34" s="15" customFormat="1">
      <c r="A22" s="852">
        <v>10</v>
      </c>
      <c r="B22" s="857" t="s">
        <v>834</v>
      </c>
      <c r="C22" s="868">
        <v>224.89407453405974</v>
      </c>
      <c r="D22" s="870">
        <v>6.067030231518423</v>
      </c>
      <c r="E22" s="868">
        <v>218.82620188519996</v>
      </c>
      <c r="F22" s="868">
        <v>218.15620188519998</v>
      </c>
      <c r="G22" s="868">
        <v>0.66999999999998749</v>
      </c>
      <c r="H22" s="868">
        <v>218.82620188519996</v>
      </c>
      <c r="I22" s="868">
        <v>6.7370302315184176</v>
      </c>
      <c r="J22" s="868">
        <v>224.96815317096062</v>
      </c>
      <c r="K22" s="868">
        <v>4.6068438742915641</v>
      </c>
      <c r="L22" s="869">
        <v>220.3587878972948</v>
      </c>
      <c r="M22" s="869">
        <v>217.57078789729485</v>
      </c>
      <c r="N22" s="872">
        <v>6.97</v>
      </c>
      <c r="O22" s="872">
        <v>224.54078789729485</v>
      </c>
      <c r="P22" s="868">
        <v>7.3948438742915243</v>
      </c>
      <c r="Q22" s="854"/>
      <c r="R22" s="854"/>
      <c r="S22" s="854">
        <v>56.943100942599976</v>
      </c>
      <c r="T22" s="867">
        <v>275.09930282779993</v>
      </c>
      <c r="U22" s="854"/>
      <c r="V22" s="854">
        <v>57.709393948647417</v>
      </c>
      <c r="W22" s="854">
        <v>275.28018184594225</v>
      </c>
      <c r="X22" s="854"/>
      <c r="Y22" s="854"/>
      <c r="Z22" s="854"/>
      <c r="AA22" s="867"/>
      <c r="AB22" s="854"/>
      <c r="AC22" s="867"/>
      <c r="AD22" s="854"/>
      <c r="AE22" s="854"/>
      <c r="AF22" s="867"/>
      <c r="AG22" s="854"/>
      <c r="AH22" s="867"/>
    </row>
    <row r="23" spans="1:34" s="15" customFormat="1">
      <c r="A23" s="852">
        <v>11</v>
      </c>
      <c r="B23" s="857" t="s">
        <v>835</v>
      </c>
      <c r="C23" s="868">
        <v>693.36377321856014</v>
      </c>
      <c r="D23" s="870">
        <v>18.705068073812672</v>
      </c>
      <c r="E23" s="868">
        <v>674.64309499409421</v>
      </c>
      <c r="F23" s="868">
        <v>657.07654749704716</v>
      </c>
      <c r="G23" s="868">
        <v>17.566547497047054</v>
      </c>
      <c r="H23" s="868">
        <v>674.64309499409421</v>
      </c>
      <c r="I23" s="868">
        <v>36.271615570859694</v>
      </c>
      <c r="J23" s="868">
        <v>693.36447431909858</v>
      </c>
      <c r="K23" s="868">
        <v>14.198551377807403</v>
      </c>
      <c r="L23" s="869">
        <v>679.15815184690723</v>
      </c>
      <c r="M23" s="869">
        <v>673.18407592345352</v>
      </c>
      <c r="N23" s="872">
        <v>6.97</v>
      </c>
      <c r="O23" s="872">
        <v>680.15407592345355</v>
      </c>
      <c r="P23" s="868">
        <v>20.172627301261059</v>
      </c>
      <c r="Q23" s="854"/>
      <c r="R23" s="854"/>
      <c r="S23" s="854">
        <v>167.75654749704711</v>
      </c>
      <c r="T23" s="867">
        <v>824.83309499409427</v>
      </c>
      <c r="U23" s="854"/>
      <c r="V23" s="854">
        <v>170.01407592345362</v>
      </c>
      <c r="W23" s="854">
        <v>843.19815184690719</v>
      </c>
      <c r="X23" s="854"/>
      <c r="Y23" s="854"/>
      <c r="Z23" s="854"/>
      <c r="AA23" s="867"/>
      <c r="AB23" s="854"/>
      <c r="AC23" s="867"/>
      <c r="AD23" s="854"/>
      <c r="AE23" s="854"/>
      <c r="AF23" s="867"/>
      <c r="AG23" s="854"/>
      <c r="AH23" s="867"/>
    </row>
    <row r="24" spans="1:34" s="15" customFormat="1">
      <c r="A24" s="852">
        <v>12</v>
      </c>
      <c r="B24" s="857" t="s">
        <v>836</v>
      </c>
      <c r="C24" s="868">
        <v>1361.7487330271892</v>
      </c>
      <c r="D24" s="870">
        <v>36.736275725026452</v>
      </c>
      <c r="E24" s="868">
        <v>1324.9871599854891</v>
      </c>
      <c r="F24" s="868">
        <v>1312.9685799927445</v>
      </c>
      <c r="G24" s="868">
        <v>12.018579992744662</v>
      </c>
      <c r="H24" s="868">
        <v>1324.9871599854891</v>
      </c>
      <c r="I24" s="868">
        <v>48.754855717771079</v>
      </c>
      <c r="J24" s="868">
        <v>1361.8717845225924</v>
      </c>
      <c r="K24" s="868">
        <v>27.88808371170057</v>
      </c>
      <c r="L24" s="869">
        <v>1333.9684372163924</v>
      </c>
      <c r="M24" s="869">
        <v>1339.9892186081961</v>
      </c>
      <c r="N24" s="872">
        <v>6.97</v>
      </c>
      <c r="O24" s="872">
        <v>1346.9592186081961</v>
      </c>
      <c r="P24" s="868">
        <v>21.867302319896908</v>
      </c>
      <c r="Q24" s="854"/>
      <c r="R24" s="854"/>
      <c r="S24" s="854">
        <v>333.69857999274456</v>
      </c>
      <c r="T24" s="867">
        <v>1646.667159985489</v>
      </c>
      <c r="U24" s="854"/>
      <c r="V24" s="854">
        <v>338.1892186081962</v>
      </c>
      <c r="W24" s="854">
        <v>1678.1784372163922</v>
      </c>
      <c r="X24" s="854"/>
      <c r="Y24" s="854"/>
      <c r="Z24" s="854"/>
      <c r="AA24" s="867"/>
      <c r="AB24" s="854"/>
      <c r="AC24" s="867"/>
      <c r="AD24" s="854"/>
      <c r="AE24" s="854"/>
      <c r="AF24" s="867"/>
      <c r="AG24" s="854"/>
      <c r="AH24" s="867"/>
    </row>
    <row r="25" spans="1:34" s="15" customFormat="1">
      <c r="A25" s="852">
        <v>13</v>
      </c>
      <c r="B25" s="857" t="s">
        <v>837</v>
      </c>
      <c r="C25" s="868">
        <v>1793.0868940262105</v>
      </c>
      <c r="D25" s="870">
        <v>48.372605709311081</v>
      </c>
      <c r="E25" s="868">
        <v>1744.6856955904107</v>
      </c>
      <c r="F25" s="868">
        <v>1732.8756955904105</v>
      </c>
      <c r="G25" s="868">
        <v>11.810000000000173</v>
      </c>
      <c r="H25" s="868">
        <v>1744.6856955904107</v>
      </c>
      <c r="I25" s="868">
        <v>60.182605709311247</v>
      </c>
      <c r="J25" s="868">
        <v>1793.2085165960957</v>
      </c>
      <c r="K25" s="868">
        <v>36.720893840162162</v>
      </c>
      <c r="L25" s="869">
        <v>1756.4675248231022</v>
      </c>
      <c r="M25" s="869">
        <v>1748.7175248231019</v>
      </c>
      <c r="N25" s="872">
        <v>6.97</v>
      </c>
      <c r="O25" s="872">
        <v>1755.687524823102</v>
      </c>
      <c r="P25" s="868">
        <v>44.470893840162489</v>
      </c>
      <c r="Q25" s="854"/>
      <c r="R25" s="854"/>
      <c r="S25" s="854">
        <v>437.75284779520524</v>
      </c>
      <c r="T25" s="867">
        <v>2170.6285433856156</v>
      </c>
      <c r="U25" s="854"/>
      <c r="V25" s="854">
        <v>443.64376241155111</v>
      </c>
      <c r="W25" s="854">
        <v>2192.361287234653</v>
      </c>
      <c r="X25" s="854"/>
      <c r="Y25" s="854"/>
      <c r="Z25" s="854"/>
      <c r="AA25" s="867"/>
      <c r="AB25" s="854"/>
      <c r="AC25" s="867"/>
      <c r="AD25" s="854"/>
      <c r="AE25" s="854"/>
      <c r="AF25" s="867"/>
      <c r="AG25" s="854"/>
      <c r="AH25" s="867"/>
    </row>
    <row r="26" spans="1:34" s="15" customFormat="1">
      <c r="A26" s="852">
        <v>14</v>
      </c>
      <c r="B26" s="857" t="s">
        <v>838</v>
      </c>
      <c r="C26" s="868">
        <v>511.62349407155017</v>
      </c>
      <c r="D26" s="870">
        <v>13.802209827529634</v>
      </c>
      <c r="E26" s="868">
        <v>484.21462656942219</v>
      </c>
      <c r="F26" s="868">
        <v>489.18231328471114</v>
      </c>
      <c r="G26" s="868">
        <v>-4.9676867152889486</v>
      </c>
      <c r="H26" s="868">
        <v>484.21462656942219</v>
      </c>
      <c r="I26" s="868">
        <v>8.8345231122406744</v>
      </c>
      <c r="J26" s="868">
        <v>511.82425766435449</v>
      </c>
      <c r="K26" s="868">
        <v>10.481014369811794</v>
      </c>
      <c r="L26" s="869">
        <v>487.73750686765379</v>
      </c>
      <c r="M26" s="869">
        <v>465.76375343382688</v>
      </c>
      <c r="N26" s="872">
        <v>6.97</v>
      </c>
      <c r="O26" s="872">
        <v>472.73375343382691</v>
      </c>
      <c r="P26" s="868">
        <v>32.454767803638731</v>
      </c>
      <c r="Q26" s="854"/>
      <c r="R26" s="854"/>
      <c r="S26" s="854">
        <v>130.89231328471112</v>
      </c>
      <c r="T26" s="867">
        <v>620.07462656942221</v>
      </c>
      <c r="U26" s="854"/>
      <c r="V26" s="854">
        <v>132.65375343382686</v>
      </c>
      <c r="W26" s="854">
        <v>598.41750686765374</v>
      </c>
      <c r="X26" s="854"/>
      <c r="Y26" s="854"/>
      <c r="Z26" s="854"/>
      <c r="AA26" s="867"/>
      <c r="AB26" s="854"/>
      <c r="AC26" s="867"/>
      <c r="AD26" s="854"/>
      <c r="AE26" s="854"/>
      <c r="AF26" s="867"/>
      <c r="AG26" s="854"/>
      <c r="AH26" s="867"/>
    </row>
    <row r="27" spans="1:34" s="15" customFormat="1">
      <c r="A27" s="852">
        <v>15</v>
      </c>
      <c r="B27" s="857" t="s">
        <v>839</v>
      </c>
      <c r="C27" s="868">
        <v>382.87553823381188</v>
      </c>
      <c r="D27" s="870">
        <v>10.328940280823733</v>
      </c>
      <c r="E27" s="868">
        <v>372.53976899765843</v>
      </c>
      <c r="F27" s="868">
        <v>364.60988449882927</v>
      </c>
      <c r="G27" s="868">
        <v>7.9298844988291535</v>
      </c>
      <c r="H27" s="868">
        <v>372.53976899765843</v>
      </c>
      <c r="I27" s="868">
        <v>18.258824779652912</v>
      </c>
      <c r="J27" s="868">
        <v>382.94053135911838</v>
      </c>
      <c r="K27" s="868">
        <v>7.8417643397244694</v>
      </c>
      <c r="L27" s="869">
        <v>375.09447509628154</v>
      </c>
      <c r="M27" s="869">
        <v>360.72447509628159</v>
      </c>
      <c r="N27" s="872">
        <v>6.97</v>
      </c>
      <c r="O27" s="872">
        <v>367.69447509628162</v>
      </c>
      <c r="P27" s="868">
        <v>22.211764339724425</v>
      </c>
      <c r="Q27" s="854"/>
      <c r="R27" s="854"/>
      <c r="S27" s="854">
        <v>94.919884498829234</v>
      </c>
      <c r="T27" s="867">
        <v>459.52976899765849</v>
      </c>
      <c r="U27" s="854"/>
      <c r="V27" s="854">
        <v>96.197237548140762</v>
      </c>
      <c r="W27" s="854">
        <v>456.92171264442237</v>
      </c>
      <c r="X27" s="854"/>
      <c r="Y27" s="854"/>
      <c r="Z27" s="854"/>
      <c r="AA27" s="867"/>
      <c r="AB27" s="854"/>
      <c r="AC27" s="867"/>
      <c r="AD27" s="854"/>
      <c r="AE27" s="854"/>
      <c r="AF27" s="867"/>
      <c r="AG27" s="854"/>
      <c r="AH27" s="867"/>
    </row>
    <row r="28" spans="1:34" s="15" customFormat="1">
      <c r="A28" s="852">
        <v>16</v>
      </c>
      <c r="B28" s="857" t="s">
        <v>840</v>
      </c>
      <c r="C28" s="868">
        <v>247.09301297378386</v>
      </c>
      <c r="D28" s="870">
        <v>6.6658971909990532</v>
      </c>
      <c r="E28" s="868">
        <v>240.42556636003968</v>
      </c>
      <c r="F28" s="868">
        <v>235.93256636003969</v>
      </c>
      <c r="G28" s="868">
        <v>4.492999999999995</v>
      </c>
      <c r="H28" s="868">
        <v>240.42556636003968</v>
      </c>
      <c r="I28" s="868">
        <v>11.158897190999056</v>
      </c>
      <c r="J28" s="868">
        <v>247.4309249251227</v>
      </c>
      <c r="K28" s="868">
        <v>5.0668311258054768</v>
      </c>
      <c r="L28" s="869">
        <v>242.36132064155919</v>
      </c>
      <c r="M28" s="869">
        <v>232.44432064155916</v>
      </c>
      <c r="N28" s="872">
        <v>6.97</v>
      </c>
      <c r="O28" s="872">
        <v>239.41432064155916</v>
      </c>
      <c r="P28" s="868">
        <v>14.983831125805494</v>
      </c>
      <c r="Q28" s="854"/>
      <c r="R28" s="854"/>
      <c r="S28" s="854">
        <v>71.922783180019849</v>
      </c>
      <c r="T28" s="867">
        <v>307.85534954005954</v>
      </c>
      <c r="U28" s="854"/>
      <c r="V28" s="854">
        <v>72.890660320779588</v>
      </c>
      <c r="W28" s="854">
        <v>305.33498096233876</v>
      </c>
      <c r="X28" s="854"/>
      <c r="Y28" s="854"/>
      <c r="Z28" s="854"/>
      <c r="AA28" s="867"/>
      <c r="AB28" s="854"/>
      <c r="AC28" s="867"/>
      <c r="AD28" s="854"/>
      <c r="AE28" s="854"/>
      <c r="AF28" s="867"/>
      <c r="AG28" s="854"/>
      <c r="AH28" s="867"/>
    </row>
    <row r="29" spans="1:34">
      <c r="A29" s="852">
        <v>17</v>
      </c>
      <c r="B29" s="857" t="s">
        <v>841</v>
      </c>
      <c r="C29" s="868">
        <v>1359.3129569129151</v>
      </c>
      <c r="D29" s="870">
        <v>36.670565112805427</v>
      </c>
      <c r="E29" s="870">
        <v>1322.617114400636</v>
      </c>
      <c r="F29" s="868">
        <v>1314.5885572003181</v>
      </c>
      <c r="G29" s="868">
        <v>8.0285572003178913</v>
      </c>
      <c r="H29" s="868">
        <v>1322.617114400636</v>
      </c>
      <c r="I29" s="868">
        <v>44.699122313123326</v>
      </c>
      <c r="J29" s="870">
        <v>1359.2106371066127</v>
      </c>
      <c r="K29" s="868">
        <v>27.833589373283807</v>
      </c>
      <c r="L29" s="873">
        <v>1331.3618139644529</v>
      </c>
      <c r="M29" s="873">
        <v>1300.4819069822265</v>
      </c>
      <c r="N29" s="872">
        <v>6.97</v>
      </c>
      <c r="O29" s="872">
        <v>1307.4519069822265</v>
      </c>
      <c r="P29" s="868">
        <v>58.713496355510188</v>
      </c>
      <c r="Q29" s="850"/>
      <c r="R29" s="850"/>
      <c r="S29" s="855">
        <v>324.90855720031806</v>
      </c>
      <c r="T29" s="867">
        <v>1639.4971144006361</v>
      </c>
      <c r="U29" s="850"/>
      <c r="V29" s="855">
        <v>329.28090698222655</v>
      </c>
      <c r="W29" s="854">
        <v>1629.762813964453</v>
      </c>
      <c r="X29" s="850"/>
      <c r="Y29" s="850"/>
      <c r="Z29" s="850"/>
      <c r="AA29" s="867"/>
      <c r="AB29" s="850"/>
      <c r="AC29" s="867"/>
      <c r="AD29" s="850"/>
      <c r="AE29" s="854"/>
      <c r="AF29" s="867"/>
      <c r="AG29" s="854"/>
      <c r="AH29" s="867"/>
    </row>
    <row r="30" spans="1:34">
      <c r="A30" s="852">
        <v>18</v>
      </c>
      <c r="B30" s="857" t="s">
        <v>842</v>
      </c>
      <c r="C30" s="868">
        <v>966.78601952525014</v>
      </c>
      <c r="D30" s="870">
        <v>26.081256342664254</v>
      </c>
      <c r="E30" s="870">
        <v>940.68562253494281</v>
      </c>
      <c r="F30" s="868">
        <v>943.00062253494286</v>
      </c>
      <c r="G30" s="868">
        <v>-2.3150000000000546</v>
      </c>
      <c r="H30" s="868">
        <v>940.68562253494281</v>
      </c>
      <c r="I30" s="868">
        <v>23.766256342664178</v>
      </c>
      <c r="J30" s="870">
        <v>967.18694059483892</v>
      </c>
      <c r="K30" s="868">
        <v>19.805822156472598</v>
      </c>
      <c r="L30" s="873">
        <v>947.37027839495386</v>
      </c>
      <c r="M30" s="873">
        <v>953.74527839495386</v>
      </c>
      <c r="N30" s="872">
        <v>6.97</v>
      </c>
      <c r="O30" s="872">
        <v>960.71527839495388</v>
      </c>
      <c r="P30" s="868">
        <v>13.430822156472573</v>
      </c>
      <c r="Q30" s="850"/>
      <c r="R30" s="850"/>
      <c r="S30" s="855">
        <v>248.36781126747144</v>
      </c>
      <c r="T30" s="867">
        <v>1191.3684338024143</v>
      </c>
      <c r="U30" s="850"/>
      <c r="V30" s="855">
        <v>251.71013919747696</v>
      </c>
      <c r="W30" s="854">
        <v>1205.4554175924309</v>
      </c>
      <c r="X30" s="850"/>
      <c r="Y30" s="850"/>
      <c r="Z30" s="850"/>
      <c r="AA30" s="867"/>
      <c r="AB30" s="850"/>
      <c r="AC30" s="867"/>
      <c r="AD30" s="850"/>
      <c r="AE30" s="854"/>
      <c r="AF30" s="867"/>
      <c r="AG30" s="854"/>
      <c r="AH30" s="867"/>
    </row>
    <row r="31" spans="1:34">
      <c r="A31" s="852">
        <v>19</v>
      </c>
      <c r="B31" s="857" t="s">
        <v>843</v>
      </c>
      <c r="C31" s="868">
        <v>786.30468404857425</v>
      </c>
      <c r="D31" s="870">
        <v>21.212360971230279</v>
      </c>
      <c r="E31" s="870">
        <v>746.18707155185155</v>
      </c>
      <c r="F31" s="868">
        <v>752.15853577592577</v>
      </c>
      <c r="G31" s="868">
        <v>-5.9714642240742251</v>
      </c>
      <c r="H31" s="868">
        <v>746.18707155185155</v>
      </c>
      <c r="I31" s="868">
        <v>15.240896747156057</v>
      </c>
      <c r="J31" s="870">
        <v>786.38510650608009</v>
      </c>
      <c r="K31" s="868">
        <v>16.103405569536797</v>
      </c>
      <c r="L31" s="873">
        <v>751.37288728497742</v>
      </c>
      <c r="M31" s="873">
        <v>758.40144364248874</v>
      </c>
      <c r="N31" s="872">
        <v>6.97</v>
      </c>
      <c r="O31" s="872">
        <v>765.37144364248877</v>
      </c>
      <c r="P31" s="868">
        <v>9.0748492120254696</v>
      </c>
      <c r="Q31" s="850"/>
      <c r="R31" s="850"/>
      <c r="S31" s="855">
        <v>192.67853577592578</v>
      </c>
      <c r="T31" s="867">
        <v>944.83707155185152</v>
      </c>
      <c r="U31" s="850"/>
      <c r="V31" s="855">
        <v>195.27144364248872</v>
      </c>
      <c r="W31" s="854">
        <v>953.67288728497749</v>
      </c>
      <c r="X31" s="850"/>
      <c r="Y31" s="850"/>
      <c r="Z31" s="850"/>
      <c r="AA31" s="867"/>
      <c r="AB31" s="850"/>
      <c r="AC31" s="867"/>
      <c r="AD31" s="850"/>
      <c r="AE31" s="854"/>
      <c r="AF31" s="867"/>
      <c r="AG31" s="854"/>
      <c r="AH31" s="867"/>
    </row>
    <row r="32" spans="1:34">
      <c r="A32" s="852">
        <v>20</v>
      </c>
      <c r="B32" s="857" t="s">
        <v>844</v>
      </c>
      <c r="C32" s="868">
        <v>795.03300144164484</v>
      </c>
      <c r="D32" s="870">
        <v>21.447827226193912</v>
      </c>
      <c r="E32" s="870">
        <v>773.57246773821203</v>
      </c>
      <c r="F32" s="868">
        <v>777.54123386910601</v>
      </c>
      <c r="G32" s="868">
        <v>-3.9687661308939823</v>
      </c>
      <c r="H32" s="868">
        <v>773.57246773821203</v>
      </c>
      <c r="I32" s="868">
        <v>17.479061095299926</v>
      </c>
      <c r="J32" s="870">
        <v>795.16457434887025</v>
      </c>
      <c r="K32" s="868">
        <v>16.283189405964354</v>
      </c>
      <c r="L32" s="873">
        <v>778.87247289276934</v>
      </c>
      <c r="M32" s="873">
        <v>785.90223644638468</v>
      </c>
      <c r="N32" s="872">
        <v>6.97</v>
      </c>
      <c r="O32" s="872">
        <v>792.8722364463847</v>
      </c>
      <c r="P32" s="868">
        <v>9.2534258523489825</v>
      </c>
      <c r="Q32" s="850"/>
      <c r="R32" s="850"/>
      <c r="S32" s="855">
        <v>196.921233869106</v>
      </c>
      <c r="T32" s="867">
        <v>974.46246773821201</v>
      </c>
      <c r="U32" s="850"/>
      <c r="V32" s="855">
        <v>199.57123644638466</v>
      </c>
      <c r="W32" s="854">
        <v>985.47347289276934</v>
      </c>
      <c r="X32" s="850"/>
      <c r="Y32" s="850"/>
      <c r="Z32" s="850"/>
      <c r="AA32" s="867"/>
      <c r="AB32" s="850"/>
      <c r="AC32" s="867"/>
      <c r="AD32" s="850"/>
      <c r="AE32" s="854"/>
      <c r="AF32" s="867"/>
      <c r="AG32" s="854"/>
      <c r="AH32" s="867"/>
    </row>
    <row r="33" spans="1:34">
      <c r="A33" s="852">
        <v>21</v>
      </c>
      <c r="B33" s="857" t="s">
        <v>845</v>
      </c>
      <c r="C33" s="868">
        <v>1273.751019586178</v>
      </c>
      <c r="D33" s="870">
        <v>34.362336843545357</v>
      </c>
      <c r="E33" s="870">
        <v>1053.8826968228627</v>
      </c>
      <c r="F33" s="868">
        <v>1036.8563484114316</v>
      </c>
      <c r="G33" s="868">
        <v>17.026348411431172</v>
      </c>
      <c r="H33" s="868">
        <v>1053.8826968228627</v>
      </c>
      <c r="I33" s="868">
        <v>51.388685254976508</v>
      </c>
      <c r="J33" s="870">
        <v>1274.0140962009202</v>
      </c>
      <c r="K33" s="868">
        <v>26.088955045935457</v>
      </c>
      <c r="L33" s="873">
        <v>1061.390862252395</v>
      </c>
      <c r="M33" s="873">
        <v>1023.5908622523948</v>
      </c>
      <c r="N33" s="872">
        <v>6.97</v>
      </c>
      <c r="O33" s="872">
        <v>1030.5608622523948</v>
      </c>
      <c r="P33" s="868">
        <v>63.888955045935745</v>
      </c>
      <c r="Q33" s="850"/>
      <c r="R33" s="850"/>
      <c r="S33" s="855">
        <v>317.60634841143144</v>
      </c>
      <c r="T33" s="867">
        <v>1354.4626968228631</v>
      </c>
      <c r="U33" s="850"/>
      <c r="V33" s="855">
        <v>321.88043112619744</v>
      </c>
      <c r="W33" s="854">
        <v>1345.4712933785922</v>
      </c>
      <c r="X33" s="850"/>
      <c r="Y33" s="850"/>
      <c r="Z33" s="850"/>
      <c r="AA33" s="867"/>
      <c r="AB33" s="850"/>
      <c r="AC33" s="867"/>
      <c r="AD33" s="850"/>
      <c r="AE33" s="854"/>
      <c r="AF33" s="867"/>
      <c r="AG33" s="854"/>
      <c r="AH33" s="867"/>
    </row>
    <row r="34" spans="1:34">
      <c r="A34" s="852">
        <v>22</v>
      </c>
      <c r="B34" s="857" t="s">
        <v>846</v>
      </c>
      <c r="C34" s="868">
        <v>773.03099860333782</v>
      </c>
      <c r="D34" s="870">
        <v>20.854273053410463</v>
      </c>
      <c r="E34" s="870">
        <v>752.16634198655652</v>
      </c>
      <c r="F34" s="868">
        <v>749.50317099327822</v>
      </c>
      <c r="G34" s="868">
        <v>2.6631709932782996</v>
      </c>
      <c r="H34" s="868">
        <v>752.16634198655652</v>
      </c>
      <c r="I34" s="868">
        <v>23.517444046688752</v>
      </c>
      <c r="J34" s="870">
        <v>773.13405900150019</v>
      </c>
      <c r="K34" s="868">
        <v>15.832053797457172</v>
      </c>
      <c r="L34" s="873">
        <v>757.29334006764441</v>
      </c>
      <c r="M34" s="873">
        <v>754.18667003382222</v>
      </c>
      <c r="N34" s="872">
        <v>6.97</v>
      </c>
      <c r="O34" s="872">
        <v>761.15667003382225</v>
      </c>
      <c r="P34" s="868">
        <v>18.93872383127939</v>
      </c>
      <c r="Q34" s="850"/>
      <c r="R34" s="850"/>
      <c r="S34" s="855">
        <v>190.49317099327828</v>
      </c>
      <c r="T34" s="867">
        <v>939.99634198655644</v>
      </c>
      <c r="U34" s="855" t="s">
        <v>1048</v>
      </c>
      <c r="V34" s="855">
        <v>193.05667003382223</v>
      </c>
      <c r="W34" s="854">
        <v>947.24334006764445</v>
      </c>
      <c r="X34" s="850"/>
      <c r="Y34" s="850"/>
      <c r="Z34" s="850"/>
      <c r="AA34" s="867"/>
      <c r="AB34" s="850"/>
      <c r="AC34" s="867"/>
      <c r="AD34" s="850"/>
      <c r="AE34" s="854"/>
      <c r="AF34" s="867"/>
      <c r="AG34" s="854"/>
      <c r="AH34" s="867"/>
    </row>
    <row r="35" spans="1:34">
      <c r="A35" s="852">
        <v>23</v>
      </c>
      <c r="B35" s="857" t="s">
        <v>847</v>
      </c>
      <c r="C35" s="868">
        <v>1239.8539867149054</v>
      </c>
      <c r="D35" s="870">
        <v>33.44788712487285</v>
      </c>
      <c r="E35" s="870">
        <v>1206.3787192390798</v>
      </c>
      <c r="F35" s="868">
        <v>1198.60435961954</v>
      </c>
      <c r="G35" s="868">
        <v>7.7743596195398368</v>
      </c>
      <c r="H35" s="868">
        <v>1206.3787192390798</v>
      </c>
      <c r="I35" s="868">
        <v>41.222246744412587</v>
      </c>
      <c r="J35" s="870">
        <v>1240.9273104564338</v>
      </c>
      <c r="K35" s="868">
        <v>25.411411784462565</v>
      </c>
      <c r="L35" s="873">
        <v>1215.501990599651</v>
      </c>
      <c r="M35" s="873">
        <v>1207.5259952998254</v>
      </c>
      <c r="N35" s="872">
        <v>6.97</v>
      </c>
      <c r="O35" s="872">
        <v>1214.4959952998254</v>
      </c>
      <c r="P35" s="868">
        <v>33.38740708428827</v>
      </c>
      <c r="Q35" s="850"/>
      <c r="R35" s="850"/>
      <c r="S35" s="855">
        <v>338.97435961953994</v>
      </c>
      <c r="T35" s="867">
        <v>1537.5787192390799</v>
      </c>
      <c r="U35" s="855">
        <v>5797.76</v>
      </c>
      <c r="V35" s="855">
        <v>343.53599529982546</v>
      </c>
      <c r="W35" s="854">
        <v>1551.0619905996509</v>
      </c>
      <c r="X35" s="850"/>
      <c r="Y35" s="850"/>
      <c r="Z35" s="850"/>
      <c r="AA35" s="867"/>
      <c r="AB35" s="850"/>
      <c r="AC35" s="867"/>
      <c r="AD35" s="850"/>
      <c r="AE35" s="854"/>
      <c r="AF35" s="867"/>
      <c r="AG35" s="854"/>
      <c r="AH35" s="867"/>
    </row>
    <row r="36" spans="1:34">
      <c r="A36" s="852">
        <v>24</v>
      </c>
      <c r="B36" s="857" t="s">
        <v>848</v>
      </c>
      <c r="C36" s="868">
        <v>875.67830667978717</v>
      </c>
      <c r="D36" s="870">
        <v>23.623418139042709</v>
      </c>
      <c r="E36" s="870">
        <v>852.03906827101241</v>
      </c>
      <c r="F36" s="868">
        <v>846.00953413550621</v>
      </c>
      <c r="G36" s="868">
        <v>6.0295341355061964</v>
      </c>
      <c r="H36" s="868">
        <v>852.03906827101241</v>
      </c>
      <c r="I36" s="868">
        <v>29.652952274548852</v>
      </c>
      <c r="J36" s="870">
        <v>875.67609884009744</v>
      </c>
      <c r="K36" s="868">
        <v>17.93188509103949</v>
      </c>
      <c r="L36" s="873">
        <v>857.73439934138935</v>
      </c>
      <c r="M36" s="873">
        <v>838.7571996706946</v>
      </c>
      <c r="N36" s="872">
        <v>6.97</v>
      </c>
      <c r="O36" s="872">
        <v>845.72719967069463</v>
      </c>
      <c r="P36" s="868">
        <v>36.909084761734221</v>
      </c>
      <c r="Q36" s="850"/>
      <c r="R36" s="850"/>
      <c r="S36" s="855">
        <v>211.60953413550621</v>
      </c>
      <c r="T36" s="867">
        <v>1057.6190682710123</v>
      </c>
      <c r="U36" s="855">
        <v>10215.11</v>
      </c>
      <c r="V36" s="855">
        <v>214.45719967069465</v>
      </c>
      <c r="W36" s="854">
        <v>1053.2143993413893</v>
      </c>
      <c r="X36" s="850"/>
      <c r="Y36" s="850"/>
      <c r="Z36" s="850"/>
      <c r="AA36" s="867"/>
      <c r="AB36" s="850"/>
      <c r="AC36" s="867"/>
      <c r="AD36" s="850"/>
      <c r="AE36" s="854"/>
      <c r="AF36" s="867"/>
      <c r="AG36" s="854"/>
      <c r="AH36" s="867"/>
    </row>
    <row r="37" spans="1:34">
      <c r="A37" s="852">
        <v>25</v>
      </c>
      <c r="B37" s="857" t="s">
        <v>849</v>
      </c>
      <c r="C37" s="868">
        <v>510.15749631431987</v>
      </c>
      <c r="D37" s="870">
        <v>13.762661196775882</v>
      </c>
      <c r="E37" s="870">
        <v>496.38177972695507</v>
      </c>
      <c r="F37" s="868">
        <v>495.99177972695509</v>
      </c>
      <c r="G37" s="868">
        <v>0.38999999999998636</v>
      </c>
      <c r="H37" s="868">
        <v>496.38177972695507</v>
      </c>
      <c r="I37" s="868">
        <v>14.152661196775853</v>
      </c>
      <c r="J37" s="870">
        <v>510.26014613548853</v>
      </c>
      <c r="K37" s="868">
        <v>10.448984869129582</v>
      </c>
      <c r="L37" s="873">
        <v>499.80544236972833</v>
      </c>
      <c r="M37" s="873">
        <v>498.51544236972831</v>
      </c>
      <c r="N37" s="872">
        <v>6.97</v>
      </c>
      <c r="O37" s="872">
        <v>505.48544236972833</v>
      </c>
      <c r="P37" s="868">
        <v>11.738984869129581</v>
      </c>
      <c r="Q37" s="850"/>
      <c r="R37" s="850"/>
      <c r="S37" s="855">
        <v>127.20588986347751</v>
      </c>
      <c r="T37" s="867">
        <v>623.19766959043261</v>
      </c>
      <c r="U37" s="855">
        <v>7957.17</v>
      </c>
      <c r="V37" s="855">
        <v>128.91772118486418</v>
      </c>
      <c r="W37" s="854">
        <v>627.43316355459251</v>
      </c>
      <c r="X37" s="850"/>
      <c r="Y37" s="850"/>
      <c r="Z37" s="850"/>
      <c r="AA37" s="867"/>
      <c r="AB37" s="850"/>
      <c r="AC37" s="867"/>
      <c r="AD37" s="850"/>
      <c r="AE37" s="854"/>
      <c r="AF37" s="867"/>
      <c r="AG37" s="854"/>
      <c r="AH37" s="867"/>
    </row>
    <row r="38" spans="1:34">
      <c r="A38" s="852">
        <v>26</v>
      </c>
      <c r="B38" s="857" t="s">
        <v>850</v>
      </c>
      <c r="C38" s="868">
        <v>509.55645007191191</v>
      </c>
      <c r="D38" s="870">
        <v>13.746446604502676</v>
      </c>
      <c r="E38" s="870">
        <v>495.80213750453464</v>
      </c>
      <c r="F38" s="868">
        <v>499.8621375045347</v>
      </c>
      <c r="G38" s="868">
        <v>-4.0600000000000591</v>
      </c>
      <c r="H38" s="868">
        <v>495.80213750453464</v>
      </c>
      <c r="I38" s="868">
        <v>9.6864466045026347</v>
      </c>
      <c r="J38" s="870">
        <v>509.51492328863407</v>
      </c>
      <c r="K38" s="868">
        <v>10.433724374439008</v>
      </c>
      <c r="L38" s="873">
        <v>499.07548836987735</v>
      </c>
      <c r="M38" s="873">
        <v>507.44548836987741</v>
      </c>
      <c r="N38" s="872">
        <v>6.97</v>
      </c>
      <c r="O38" s="872">
        <v>514.41548836987738</v>
      </c>
      <c r="P38" s="868">
        <v>2.063724374438948</v>
      </c>
      <c r="Q38" s="850"/>
      <c r="R38" s="850"/>
      <c r="S38" s="855">
        <v>121.62106875226733</v>
      </c>
      <c r="T38" s="867">
        <v>621.48320625680208</v>
      </c>
      <c r="U38" s="855">
        <v>23970.04</v>
      </c>
      <c r="V38" s="855">
        <v>123.25774418493867</v>
      </c>
      <c r="W38" s="854">
        <v>630.70323255481605</v>
      </c>
      <c r="X38" s="850"/>
      <c r="Y38" s="850"/>
      <c r="Z38" s="850"/>
      <c r="AA38" s="867"/>
      <c r="AB38" s="850"/>
      <c r="AC38" s="867"/>
      <c r="AD38" s="850"/>
      <c r="AE38" s="854"/>
      <c r="AF38" s="867"/>
      <c r="AG38" s="854"/>
      <c r="AH38" s="867"/>
    </row>
    <row r="39" spans="1:34">
      <c r="A39" s="852">
        <v>27</v>
      </c>
      <c r="B39" s="857" t="s">
        <v>851</v>
      </c>
      <c r="C39" s="868">
        <v>652.90127824586364</v>
      </c>
      <c r="D39" s="870">
        <v>17.613500051175269</v>
      </c>
      <c r="E39" s="870">
        <v>635.27266005694446</v>
      </c>
      <c r="F39" s="868">
        <v>628.24633002847224</v>
      </c>
      <c r="G39" s="868">
        <v>7.0263300284722163</v>
      </c>
      <c r="H39" s="868">
        <v>635.27266005694446</v>
      </c>
      <c r="I39" s="868">
        <v>24.639830079647481</v>
      </c>
      <c r="J39" s="870">
        <v>653.20786964714819</v>
      </c>
      <c r="K39" s="868">
        <v>13.376234060276959</v>
      </c>
      <c r="L39" s="873">
        <v>639.82431455991446</v>
      </c>
      <c r="M39" s="873">
        <v>634.85215727995717</v>
      </c>
      <c r="N39" s="872">
        <v>6.97</v>
      </c>
      <c r="O39" s="872">
        <v>641.8221572799572</v>
      </c>
      <c r="P39" s="868">
        <v>18.34839134023423</v>
      </c>
      <c r="Q39" s="850"/>
      <c r="R39" s="850"/>
      <c r="S39" s="855">
        <v>169.11633002847219</v>
      </c>
      <c r="T39" s="867">
        <v>797.36266005694438</v>
      </c>
      <c r="U39" s="850"/>
      <c r="V39" s="855">
        <v>171.39215727995722</v>
      </c>
      <c r="W39" s="854">
        <v>806.24431455991441</v>
      </c>
      <c r="X39" s="850"/>
      <c r="Y39" s="850"/>
      <c r="Z39" s="850"/>
      <c r="AA39" s="867"/>
      <c r="AB39" s="850"/>
      <c r="AC39" s="867"/>
      <c r="AD39" s="850"/>
      <c r="AE39" s="854"/>
      <c r="AF39" s="867"/>
      <c r="AG39" s="854"/>
      <c r="AH39" s="867"/>
    </row>
    <row r="40" spans="1:34">
      <c r="A40" s="852">
        <v>28</v>
      </c>
      <c r="B40" s="857" t="s">
        <v>852</v>
      </c>
      <c r="C40" s="868">
        <v>399.00281380149016</v>
      </c>
      <c r="D40" s="870">
        <v>10.76401029600243</v>
      </c>
      <c r="E40" s="870">
        <v>388.23361454171464</v>
      </c>
      <c r="F40" s="868">
        <v>369.75361454171468</v>
      </c>
      <c r="G40" s="868">
        <v>18.479999999999961</v>
      </c>
      <c r="H40" s="868">
        <v>388.23361454171464</v>
      </c>
      <c r="I40" s="868">
        <v>29.244010296002386</v>
      </c>
      <c r="J40" s="870">
        <v>398.90005819008871</v>
      </c>
      <c r="K40" s="868">
        <v>8.1685797017280635</v>
      </c>
      <c r="L40" s="873">
        <v>390.72700769397073</v>
      </c>
      <c r="M40" s="873">
        <v>373.10700769397079</v>
      </c>
      <c r="N40" s="872">
        <v>6.97</v>
      </c>
      <c r="O40" s="872">
        <v>380.07700769397081</v>
      </c>
      <c r="P40" s="868">
        <v>25.788579701727997</v>
      </c>
      <c r="Q40" s="850"/>
      <c r="R40" s="850"/>
      <c r="S40" s="855">
        <v>92.641807270857313</v>
      </c>
      <c r="T40" s="867">
        <v>462.39542181257201</v>
      </c>
      <c r="U40" s="850"/>
      <c r="V40" s="855">
        <v>93.888503846985387</v>
      </c>
      <c r="W40" s="854">
        <v>466.99551154095616</v>
      </c>
      <c r="X40" s="850"/>
      <c r="Y40" s="850"/>
      <c r="Z40" s="850"/>
      <c r="AA40" s="867"/>
      <c r="AB40" s="850"/>
      <c r="AC40" s="867"/>
      <c r="AD40" s="850"/>
      <c r="AE40" s="854"/>
      <c r="AF40" s="867"/>
      <c r="AG40" s="854"/>
      <c r="AH40" s="867"/>
    </row>
    <row r="41" spans="1:34">
      <c r="A41" s="852">
        <v>29</v>
      </c>
      <c r="B41" s="857" t="s">
        <v>1041</v>
      </c>
      <c r="C41" s="868">
        <v>710.48594870683735</v>
      </c>
      <c r="D41" s="870">
        <v>19.166977781891749</v>
      </c>
      <c r="E41" s="870">
        <v>691.30302610380204</v>
      </c>
      <c r="F41" s="868">
        <v>696.03651305190101</v>
      </c>
      <c r="G41" s="868">
        <v>-4.733486948098971</v>
      </c>
      <c r="H41" s="868">
        <v>691.30302610380204</v>
      </c>
      <c r="I41" s="868">
        <v>14.433490833792803</v>
      </c>
      <c r="J41" s="870">
        <v>710.64656350479368</v>
      </c>
      <c r="K41" s="868">
        <v>14.552449854449016</v>
      </c>
      <c r="L41" s="873">
        <v>696.08614886166117</v>
      </c>
      <c r="M41" s="873">
        <v>705.10807443083058</v>
      </c>
      <c r="N41" s="872">
        <v>6.97</v>
      </c>
      <c r="O41" s="872">
        <v>712.07807443083061</v>
      </c>
      <c r="P41" s="868">
        <v>5.5305242852796255</v>
      </c>
      <c r="Q41" s="850"/>
      <c r="R41" s="850"/>
      <c r="S41" s="855">
        <v>177.71651305190102</v>
      </c>
      <c r="T41" s="867">
        <v>873.75302610380209</v>
      </c>
      <c r="U41" s="850"/>
      <c r="V41" s="855">
        <v>180.10807443083061</v>
      </c>
      <c r="W41" s="854">
        <v>885.21614886166117</v>
      </c>
      <c r="X41" s="850"/>
      <c r="Y41" s="850"/>
      <c r="Z41" s="850"/>
      <c r="AA41" s="867"/>
      <c r="AB41" s="850"/>
      <c r="AC41" s="867"/>
      <c r="AD41" s="850"/>
      <c r="AE41" s="854"/>
      <c r="AF41" s="867"/>
      <c r="AG41" s="854"/>
      <c r="AH41" s="867"/>
    </row>
    <row r="42" spans="1:34">
      <c r="A42" s="852">
        <v>30</v>
      </c>
      <c r="B42" s="857" t="s">
        <v>1042</v>
      </c>
      <c r="C42" s="868">
        <v>366.85817417814667</v>
      </c>
      <c r="D42" s="870">
        <v>9.8968353791881842</v>
      </c>
      <c r="E42" s="870">
        <v>356.95981239609961</v>
      </c>
      <c r="F42" s="868">
        <v>332.95490619804985</v>
      </c>
      <c r="G42" s="868">
        <v>24.004906198049753</v>
      </c>
      <c r="H42" s="868">
        <v>356.95981239609961</v>
      </c>
      <c r="I42" s="868">
        <v>33.901741577237942</v>
      </c>
      <c r="J42" s="870">
        <v>366.4396594614683</v>
      </c>
      <c r="K42" s="868">
        <v>7.5038634433056259</v>
      </c>
      <c r="L42" s="873">
        <v>358.93168903361823</v>
      </c>
      <c r="M42" s="873">
        <v>311.83668903361826</v>
      </c>
      <c r="N42" s="872">
        <v>6.97</v>
      </c>
      <c r="O42" s="872">
        <v>318.80668903361828</v>
      </c>
      <c r="P42" s="868">
        <v>54.598863443305618</v>
      </c>
      <c r="Q42" s="850"/>
      <c r="R42" s="850"/>
      <c r="S42" s="855">
        <v>73.264906198049815</v>
      </c>
      <c r="T42" s="867">
        <v>406.21981239609966</v>
      </c>
      <c r="U42" s="850"/>
      <c r="V42" s="855">
        <v>74.25084451680911</v>
      </c>
      <c r="W42" s="854">
        <v>386.08753355042734</v>
      </c>
      <c r="X42" s="850"/>
      <c r="Y42" s="850"/>
      <c r="Z42" s="850"/>
      <c r="AA42" s="867"/>
      <c r="AB42" s="850"/>
      <c r="AC42" s="867"/>
      <c r="AD42" s="850"/>
      <c r="AE42" s="854"/>
      <c r="AF42" s="867"/>
      <c r="AG42" s="854"/>
      <c r="AH42" s="867"/>
    </row>
    <row r="43" spans="1:34">
      <c r="A43" s="852">
        <v>31</v>
      </c>
      <c r="B43" s="857" t="s">
        <v>1043</v>
      </c>
      <c r="C43" s="868">
        <v>596.26562564108838</v>
      </c>
      <c r="D43" s="870">
        <v>16.085624240099122</v>
      </c>
      <c r="E43" s="870">
        <v>580.16909260247735</v>
      </c>
      <c r="F43" s="868">
        <v>560.90954630123872</v>
      </c>
      <c r="G43" s="868">
        <v>19.259546301238629</v>
      </c>
      <c r="H43" s="868">
        <v>580.16909260247735</v>
      </c>
      <c r="I43" s="868">
        <v>35.345170541337779</v>
      </c>
      <c r="J43" s="870">
        <v>596.3321454888146</v>
      </c>
      <c r="K43" s="868">
        <v>12.211546624559778</v>
      </c>
      <c r="L43" s="873">
        <v>584.18391528936979</v>
      </c>
      <c r="M43" s="873">
        <v>582.21195764468484</v>
      </c>
      <c r="N43" s="872">
        <v>6.97</v>
      </c>
      <c r="O43" s="872">
        <v>589.18195764468487</v>
      </c>
      <c r="P43" s="868">
        <v>14.183504269244736</v>
      </c>
      <c r="Q43" s="850"/>
      <c r="R43" s="850"/>
      <c r="S43" s="855">
        <v>146.56954630123866</v>
      </c>
      <c r="T43" s="867">
        <v>707.47909260247741</v>
      </c>
      <c r="U43" s="850"/>
      <c r="V43" s="855">
        <v>148.54195764468489</v>
      </c>
      <c r="W43" s="854">
        <v>730.75391528936973</v>
      </c>
      <c r="X43" s="850"/>
      <c r="Y43" s="850"/>
      <c r="Z43" s="850"/>
      <c r="AA43" s="867"/>
      <c r="AB43" s="850"/>
      <c r="AC43" s="867"/>
      <c r="AD43" s="850"/>
      <c r="AE43" s="854"/>
      <c r="AF43" s="867"/>
      <c r="AG43" s="854"/>
      <c r="AH43" s="867"/>
    </row>
    <row r="44" spans="1:34">
      <c r="A44" s="852">
        <v>32</v>
      </c>
      <c r="B44" s="857" t="s">
        <v>1044</v>
      </c>
      <c r="C44" s="868">
        <v>796.60470842445943</v>
      </c>
      <c r="D44" s="870">
        <v>21.490227604236686</v>
      </c>
      <c r="E44" s="870">
        <v>775.10102583019534</v>
      </c>
      <c r="F44" s="868">
        <v>777.83051291509764</v>
      </c>
      <c r="G44" s="868">
        <v>-2.7294870849023027</v>
      </c>
      <c r="H44" s="868">
        <v>775.10102583019534</v>
      </c>
      <c r="I44" s="868">
        <v>18.760740519334377</v>
      </c>
      <c r="J44" s="870">
        <v>796.53659188377605</v>
      </c>
      <c r="K44" s="868">
        <v>16.311285251918594</v>
      </c>
      <c r="L44" s="873">
        <v>780.21637920441481</v>
      </c>
      <c r="M44" s="873">
        <v>788.2381896022074</v>
      </c>
      <c r="N44" s="872">
        <v>6.97</v>
      </c>
      <c r="O44" s="872">
        <v>795.20818960220743</v>
      </c>
      <c r="P44" s="868">
        <v>8.289474854125956</v>
      </c>
      <c r="Q44" s="850"/>
      <c r="R44" s="850"/>
      <c r="S44" s="855">
        <v>190.0605129150976</v>
      </c>
      <c r="T44" s="867">
        <v>967.8910258301953</v>
      </c>
      <c r="U44" s="850"/>
      <c r="V44" s="855">
        <v>192.61818960220742</v>
      </c>
      <c r="W44" s="854">
        <v>980.85637920441479</v>
      </c>
      <c r="X44" s="850"/>
      <c r="Y44" s="850"/>
      <c r="Z44" s="850"/>
      <c r="AA44" s="867"/>
      <c r="AB44" s="850"/>
      <c r="AC44" s="867"/>
      <c r="AD44" s="850"/>
      <c r="AE44" s="854"/>
      <c r="AF44" s="867"/>
      <c r="AG44" s="854"/>
      <c r="AH44" s="867"/>
    </row>
    <row r="45" spans="1:34">
      <c r="A45" s="852">
        <v>33</v>
      </c>
      <c r="B45" s="857" t="s">
        <v>857</v>
      </c>
      <c r="C45" s="868">
        <v>391.11972805479451</v>
      </c>
      <c r="D45" s="870">
        <v>10.551346091123118</v>
      </c>
      <c r="E45" s="870">
        <v>377.32304790684668</v>
      </c>
      <c r="F45" s="868">
        <v>370.66804790684671</v>
      </c>
      <c r="G45" s="868">
        <v>6.6549999999999727</v>
      </c>
      <c r="H45" s="868">
        <v>377.32304790684668</v>
      </c>
      <c r="I45" s="868">
        <v>17.206346091123066</v>
      </c>
      <c r="J45" s="870">
        <v>391.20697049254733</v>
      </c>
      <c r="K45" s="868">
        <v>8.0110424973092957</v>
      </c>
      <c r="L45" s="873">
        <v>379.9515434234811</v>
      </c>
      <c r="M45" s="873">
        <v>368.78154342348154</v>
      </c>
      <c r="N45" s="872">
        <v>6.97</v>
      </c>
      <c r="O45" s="872">
        <v>375.75154342348156</v>
      </c>
      <c r="P45" s="868">
        <v>19.181042497308852</v>
      </c>
      <c r="Q45" s="850"/>
      <c r="R45" s="850"/>
      <c r="S45" s="855">
        <v>97.661523953423327</v>
      </c>
      <c r="T45" s="867">
        <v>468.32957186027005</v>
      </c>
      <c r="U45" s="850"/>
      <c r="V45" s="855">
        <v>98.975771711740535</v>
      </c>
      <c r="W45" s="854">
        <v>467.75731513522209</v>
      </c>
      <c r="X45" s="850"/>
      <c r="Y45" s="850"/>
      <c r="Z45" s="850"/>
      <c r="AA45" s="867"/>
      <c r="AB45" s="850"/>
      <c r="AC45" s="867"/>
      <c r="AD45" s="850"/>
      <c r="AE45" s="854"/>
      <c r="AF45" s="867"/>
      <c r="AG45" s="854"/>
      <c r="AH45" s="867"/>
    </row>
    <row r="46" spans="1:34">
      <c r="A46" s="851" t="s">
        <v>18</v>
      </c>
      <c r="B46" s="857"/>
      <c r="C46" s="870">
        <v>29472.949554875013</v>
      </c>
      <c r="D46" s="870">
        <v>795.09998799173889</v>
      </c>
      <c r="E46" s="870">
        <v>28366.570000000007</v>
      </c>
      <c r="F46" s="870">
        <v>28163.309287607197</v>
      </c>
      <c r="G46" s="870"/>
      <c r="H46" s="870"/>
      <c r="I46" s="870">
        <v>998.36070038453749</v>
      </c>
      <c r="J46" s="870">
        <v>29472.949209175462</v>
      </c>
      <c r="K46" s="870">
        <v>603.53998380568476</v>
      </c>
      <c r="L46" s="870">
        <v>28550.770000000008</v>
      </c>
      <c r="M46" s="870">
        <v>28302.468223206983</v>
      </c>
      <c r="N46" s="870"/>
      <c r="O46" s="870"/>
      <c r="P46" s="870">
        <v>851.84176059869924</v>
      </c>
      <c r="Q46" s="874">
        <v>0</v>
      </c>
      <c r="R46" s="850"/>
      <c r="S46" s="850"/>
      <c r="T46" s="850"/>
      <c r="U46" s="850"/>
      <c r="V46" s="850"/>
      <c r="W46" s="850"/>
      <c r="X46" s="850"/>
      <c r="Y46" s="850"/>
      <c r="Z46" s="850"/>
      <c r="AA46" s="850"/>
      <c r="AB46" s="850"/>
      <c r="AC46" s="850"/>
      <c r="AD46" s="850"/>
      <c r="AE46" s="850"/>
      <c r="AF46" s="850"/>
      <c r="AG46" s="850"/>
      <c r="AH46" s="850"/>
    </row>
    <row r="47" spans="1:34" ht="13.15" hidden="1" customHeight="1">
      <c r="A47" s="851" t="s">
        <v>1052</v>
      </c>
      <c r="B47" s="859" t="s">
        <v>1053</v>
      </c>
      <c r="C47" s="857"/>
      <c r="D47" s="875">
        <v>0</v>
      </c>
      <c r="E47" s="851"/>
      <c r="F47" s="857"/>
      <c r="G47" s="857"/>
      <c r="H47" s="857"/>
      <c r="I47" s="857"/>
      <c r="J47" s="857"/>
      <c r="K47" s="857"/>
      <c r="L47" s="857"/>
      <c r="M47" s="857"/>
      <c r="N47" s="857"/>
      <c r="O47" s="857"/>
      <c r="P47" s="857"/>
      <c r="Q47" s="850"/>
      <c r="R47" s="850"/>
      <c r="S47" s="850"/>
      <c r="T47" s="850"/>
      <c r="U47" s="850"/>
      <c r="V47" s="850"/>
      <c r="W47" s="850"/>
      <c r="X47" s="850"/>
      <c r="Y47" s="850"/>
      <c r="Z47" s="850"/>
      <c r="AA47" s="850"/>
      <c r="AB47" s="850"/>
      <c r="AC47" s="850"/>
      <c r="AD47" s="850"/>
      <c r="AE47" s="850"/>
      <c r="AF47" s="850"/>
      <c r="AG47" s="850"/>
      <c r="AH47" s="850"/>
    </row>
    <row r="48" spans="1:34" ht="13.15" hidden="1" customHeight="1">
      <c r="A48" s="871">
        <v>1</v>
      </c>
      <c r="B48" s="857" t="s">
        <v>825</v>
      </c>
      <c r="C48" s="859">
        <v>100.68</v>
      </c>
      <c r="D48" s="875">
        <v>3.7354632860924633</v>
      </c>
      <c r="E48" s="859">
        <v>117.33</v>
      </c>
      <c r="F48" s="857"/>
      <c r="G48" s="857"/>
      <c r="H48" s="857"/>
      <c r="I48" s="857"/>
      <c r="J48" s="859">
        <v>100.68</v>
      </c>
      <c r="K48" s="859">
        <v>177.38</v>
      </c>
      <c r="L48" s="859">
        <v>118.91</v>
      </c>
      <c r="M48" s="857"/>
      <c r="N48" s="857"/>
      <c r="O48" s="857"/>
      <c r="P48" s="857"/>
      <c r="Q48" s="850"/>
      <c r="R48" s="850"/>
      <c r="S48" s="850"/>
      <c r="T48" s="850"/>
      <c r="U48" s="850"/>
      <c r="V48" s="850"/>
      <c r="W48" s="850"/>
      <c r="X48" s="850"/>
      <c r="Y48" s="850"/>
      <c r="Z48" s="850"/>
      <c r="AA48" s="850"/>
      <c r="AB48" s="850"/>
      <c r="AC48" s="850"/>
      <c r="AD48" s="850"/>
      <c r="AE48" s="850"/>
      <c r="AF48" s="850"/>
      <c r="AG48" s="850"/>
      <c r="AH48" s="850"/>
    </row>
    <row r="49" spans="1:34">
      <c r="A49" s="854"/>
      <c r="B49" s="854"/>
      <c r="C49" s="854"/>
      <c r="D49" s="854"/>
      <c r="E49" s="854"/>
      <c r="F49" s="867"/>
      <c r="G49" s="867"/>
      <c r="H49" s="867"/>
      <c r="I49" s="854"/>
      <c r="J49" s="854"/>
      <c r="K49" s="854"/>
      <c r="L49" s="854"/>
      <c r="M49" s="867"/>
      <c r="N49" s="867"/>
      <c r="O49" s="867"/>
      <c r="P49" s="854"/>
      <c r="Q49" s="850"/>
      <c r="R49" s="828"/>
      <c r="S49" s="828"/>
      <c r="T49" s="828"/>
      <c r="U49" s="828"/>
      <c r="V49" s="828"/>
      <c r="W49" s="828"/>
      <c r="X49" s="828"/>
      <c r="Y49" s="828"/>
      <c r="Z49" s="828"/>
      <c r="AA49" s="828"/>
      <c r="AB49" s="828"/>
      <c r="AC49" s="828"/>
      <c r="AD49" s="828"/>
      <c r="AE49" s="828"/>
      <c r="AF49" s="828"/>
      <c r="AG49" s="828"/>
      <c r="AH49" s="828"/>
    </row>
    <row r="50" spans="1:34" s="991" customFormat="1" ht="15.75" customHeight="1">
      <c r="A50" s="15" t="s">
        <v>12</v>
      </c>
      <c r="B50" s="15"/>
      <c r="C50" s="15"/>
      <c r="D50" s="15"/>
      <c r="E50" s="15"/>
      <c r="F50" s="15"/>
      <c r="G50" s="15"/>
      <c r="I50" s="1202"/>
      <c r="J50" s="1202"/>
    </row>
    <row r="51" spans="1:34" s="991" customFormat="1" ht="15.6" customHeight="1">
      <c r="J51" s="1040" t="s">
        <v>1106</v>
      </c>
      <c r="K51" s="1040"/>
      <c r="L51" s="1040"/>
      <c r="M51" s="997"/>
      <c r="N51" s="997"/>
    </row>
    <row r="52" spans="1:34" s="991" customFormat="1" ht="15.6" customHeight="1">
      <c r="J52" s="1040" t="s">
        <v>481</v>
      </c>
      <c r="K52" s="1040"/>
      <c r="L52" s="1040"/>
      <c r="M52" s="997"/>
      <c r="N52" s="997"/>
    </row>
    <row r="53" spans="1:34" s="991" customFormat="1" ht="15.6" customHeight="1">
      <c r="J53" s="1040" t="s">
        <v>1107</v>
      </c>
      <c r="K53" s="1040"/>
      <c r="L53" s="1040"/>
      <c r="M53" s="997"/>
      <c r="N53" s="997"/>
    </row>
    <row r="54" spans="1:34">
      <c r="A54" s="854"/>
      <c r="B54" s="850"/>
      <c r="C54" s="850"/>
      <c r="D54" s="850"/>
      <c r="E54" s="850"/>
      <c r="F54" s="850"/>
      <c r="G54" s="850"/>
      <c r="H54" s="850"/>
      <c r="I54" s="866"/>
      <c r="J54" s="850"/>
      <c r="K54" s="850"/>
      <c r="L54" s="850"/>
      <c r="M54" s="866"/>
      <c r="N54" s="850"/>
      <c r="O54" s="850"/>
      <c r="P54" s="850"/>
      <c r="Q54" s="850"/>
      <c r="R54" s="828"/>
      <c r="S54" s="828"/>
      <c r="T54" s="828"/>
      <c r="U54" s="828"/>
      <c r="V54" s="828"/>
      <c r="W54" s="828"/>
      <c r="X54" s="828"/>
      <c r="Y54" s="828"/>
      <c r="Z54" s="828"/>
      <c r="AA54" s="828"/>
      <c r="AB54" s="828"/>
      <c r="AC54" s="828"/>
      <c r="AD54" s="828"/>
      <c r="AE54" s="828"/>
      <c r="AF54" s="828"/>
      <c r="AG54" s="828"/>
      <c r="AH54" s="828"/>
    </row>
    <row r="55" spans="1:34">
      <c r="A55" s="1222"/>
      <c r="B55" s="1222"/>
      <c r="C55" s="1222"/>
      <c r="D55" s="1222"/>
      <c r="E55" s="1222"/>
      <c r="F55" s="1222"/>
      <c r="G55" s="1222"/>
      <c r="H55" s="1222"/>
      <c r="I55" s="1222"/>
      <c r="J55" s="1222"/>
      <c r="K55" s="1222"/>
      <c r="L55" s="1222"/>
      <c r="M55" s="1222"/>
      <c r="N55" s="1222"/>
      <c r="O55" s="1222"/>
      <c r="P55" s="1222"/>
      <c r="Q55" s="850"/>
      <c r="R55" s="828"/>
      <c r="S55" s="828"/>
      <c r="T55" s="828"/>
      <c r="U55" s="828"/>
      <c r="V55" s="828"/>
      <c r="W55" s="828"/>
      <c r="X55" s="828"/>
      <c r="Y55" s="828"/>
      <c r="Z55" s="828"/>
      <c r="AA55" s="828"/>
      <c r="AB55" s="828"/>
      <c r="AC55" s="828"/>
      <c r="AD55" s="828"/>
      <c r="AE55" s="828"/>
      <c r="AF55" s="828"/>
      <c r="AG55" s="828"/>
      <c r="AH55" s="828"/>
    </row>
    <row r="56" spans="1:34">
      <c r="A56" s="850"/>
      <c r="B56" s="850"/>
      <c r="C56" s="850"/>
      <c r="D56" s="850"/>
      <c r="E56" s="866"/>
      <c r="F56" s="866"/>
      <c r="G56" s="850"/>
      <c r="H56" s="850"/>
      <c r="I56" s="866"/>
      <c r="J56" s="850"/>
      <c r="K56" s="850"/>
      <c r="L56" s="850"/>
      <c r="M56" s="866"/>
      <c r="N56" s="850"/>
      <c r="O56" s="850"/>
      <c r="P56" s="850"/>
      <c r="Q56" s="850"/>
      <c r="R56" s="828"/>
      <c r="S56" s="828"/>
      <c r="T56" s="828"/>
      <c r="U56" s="828"/>
      <c r="V56" s="828"/>
      <c r="W56" s="828"/>
      <c r="X56" s="828"/>
      <c r="Y56" s="828"/>
      <c r="Z56" s="828"/>
      <c r="AA56" s="828"/>
      <c r="AB56" s="828"/>
      <c r="AC56" s="828"/>
      <c r="AD56" s="828"/>
      <c r="AE56" s="828"/>
      <c r="AF56" s="828"/>
      <c r="AG56" s="828"/>
      <c r="AH56" s="828"/>
    </row>
    <row r="57" spans="1:34">
      <c r="A57" s="850"/>
      <c r="B57" s="850"/>
      <c r="C57" s="850"/>
      <c r="D57" s="850"/>
      <c r="E57" s="866"/>
      <c r="F57" s="850"/>
      <c r="G57" s="850"/>
      <c r="H57" s="850"/>
      <c r="I57" s="850"/>
      <c r="J57" s="850"/>
      <c r="K57" s="850"/>
      <c r="L57" s="850"/>
      <c r="M57" s="850"/>
      <c r="N57" s="850"/>
      <c r="O57" s="850"/>
      <c r="P57" s="850"/>
      <c r="Q57" s="850"/>
      <c r="R57" s="828"/>
      <c r="S57" s="828"/>
      <c r="T57" s="828"/>
      <c r="U57" s="828"/>
      <c r="V57" s="828"/>
      <c r="W57" s="828"/>
      <c r="X57" s="828"/>
      <c r="Y57" s="828"/>
      <c r="Z57" s="828"/>
      <c r="AA57" s="828"/>
      <c r="AB57" s="828"/>
      <c r="AC57" s="828"/>
      <c r="AD57" s="828"/>
      <c r="AE57" s="828"/>
      <c r="AF57" s="828"/>
      <c r="AG57" s="828"/>
      <c r="AH57" s="828"/>
    </row>
  </sheetData>
  <mergeCells count="16">
    <mergeCell ref="J53:L53"/>
    <mergeCell ref="K8:P8"/>
    <mergeCell ref="A55:P55"/>
    <mergeCell ref="C9:I9"/>
    <mergeCell ref="J9:P9"/>
    <mergeCell ref="A9:A10"/>
    <mergeCell ref="B9:B10"/>
    <mergeCell ref="I50:J50"/>
    <mergeCell ref="J51:L51"/>
    <mergeCell ref="J52:L52"/>
    <mergeCell ref="P1:R1"/>
    <mergeCell ref="A2:P2"/>
    <mergeCell ref="A3:P3"/>
    <mergeCell ref="A5:P5"/>
    <mergeCell ref="F7:P7"/>
    <mergeCell ref="A7:B7"/>
  </mergeCells>
  <phoneticPr fontId="0" type="noConversion"/>
  <printOptions horizontalCentered="1"/>
  <pageMargins left="0.70866141732283472" right="0.70866141732283472" top="0.63" bottom="0" header="0.79" footer="0.31496062992125984"/>
  <pageSetup paperSize="9" orientation="landscape"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sheetPr>
    <pageSetUpPr fitToPage="1"/>
  </sheetPr>
  <dimension ref="A1:N51"/>
  <sheetViews>
    <sheetView topLeftCell="A43" zoomScale="99" zoomScaleNormal="99" zoomScaleSheetLayoutView="70" workbookViewId="0">
      <selection activeCell="E13" sqref="E13"/>
    </sheetView>
  </sheetViews>
  <sheetFormatPr defaultColWidth="9.140625" defaultRowHeight="12.75"/>
  <cols>
    <col min="1" max="1" width="5.7109375" style="301" customWidth="1"/>
    <col min="2" max="2" width="16.7109375" style="301" bestFit="1" customWidth="1"/>
    <col min="3" max="3" width="13" style="301" customWidth="1"/>
    <col min="4" max="4" width="12" style="301" customWidth="1"/>
    <col min="5" max="5" width="12.42578125" style="301" customWidth="1"/>
    <col min="6" max="6" width="12.7109375" style="301" customWidth="1"/>
    <col min="7" max="7" width="13.140625" style="301" customWidth="1"/>
    <col min="8" max="8" width="12.7109375" style="301" customWidth="1"/>
    <col min="9" max="9" width="12.140625" style="301" customWidth="1"/>
    <col min="10" max="10" width="12.140625" style="690" customWidth="1"/>
    <col min="11" max="11" width="16.5703125" style="301" customWidth="1"/>
    <col min="12" max="12" width="13.140625" style="301" customWidth="1"/>
    <col min="13" max="13" width="12.7109375" style="301" customWidth="1"/>
    <col min="14" max="16384" width="9.140625" style="301"/>
  </cols>
  <sheetData>
    <row r="1" spans="1:13">
      <c r="A1" s="830"/>
      <c r="B1" s="1236" t="s">
        <v>211</v>
      </c>
      <c r="C1" s="1236"/>
      <c r="D1" s="1236"/>
      <c r="E1" s="1236"/>
      <c r="F1" s="1236"/>
      <c r="G1" s="1236"/>
      <c r="H1" s="1236"/>
      <c r="I1" s="1236"/>
      <c r="J1" s="1236"/>
      <c r="K1" s="1236"/>
      <c r="L1" s="1236"/>
      <c r="M1" s="1236"/>
    </row>
    <row r="2" spans="1:13" ht="12.75" customHeight="1">
      <c r="A2" s="830"/>
      <c r="B2" s="830"/>
      <c r="C2" s="830"/>
      <c r="D2" s="830"/>
      <c r="E2" s="830"/>
      <c r="F2" s="830"/>
      <c r="G2" s="830"/>
      <c r="H2" s="830"/>
      <c r="I2" s="830"/>
      <c r="J2" s="830"/>
      <c r="K2" s="830"/>
      <c r="L2" s="830"/>
      <c r="M2" s="830"/>
    </row>
    <row r="3" spans="1:13" ht="15.75">
      <c r="A3" s="830"/>
      <c r="B3" s="1237" t="s">
        <v>0</v>
      </c>
      <c r="C3" s="1237"/>
      <c r="D3" s="1237"/>
      <c r="E3" s="1237"/>
      <c r="F3" s="1237"/>
      <c r="G3" s="1237"/>
      <c r="H3" s="1237"/>
      <c r="I3" s="1237"/>
      <c r="J3" s="1237"/>
      <c r="K3" s="1237"/>
      <c r="L3" s="830"/>
      <c r="M3" s="830"/>
    </row>
    <row r="4" spans="1:13" ht="20.25">
      <c r="A4" s="830"/>
      <c r="B4" s="1238" t="s">
        <v>636</v>
      </c>
      <c r="C4" s="1238"/>
      <c r="D4" s="1238"/>
      <c r="E4" s="1238"/>
      <c r="F4" s="1238"/>
      <c r="G4" s="1238"/>
      <c r="H4" s="1238"/>
      <c r="I4" s="1238"/>
      <c r="J4" s="1238"/>
      <c r="K4" s="1238"/>
      <c r="L4" s="830"/>
      <c r="M4" s="830"/>
    </row>
    <row r="5" spans="1:13" ht="10.5" customHeight="1">
      <c r="A5" s="830"/>
      <c r="B5" s="830"/>
      <c r="C5" s="830"/>
      <c r="D5" s="830"/>
      <c r="E5" s="830"/>
      <c r="F5" s="830"/>
      <c r="G5" s="830"/>
      <c r="H5" s="830"/>
      <c r="I5" s="830"/>
      <c r="J5" s="830"/>
      <c r="K5" s="830"/>
      <c r="L5" s="830"/>
      <c r="M5" s="830"/>
    </row>
    <row r="6" spans="1:13" ht="15.75">
      <c r="A6" s="835" t="s">
        <v>654</v>
      </c>
      <c r="B6" s="835"/>
      <c r="C6" s="835"/>
      <c r="D6" s="835"/>
      <c r="E6" s="835"/>
      <c r="F6" s="835"/>
      <c r="G6" s="835"/>
      <c r="H6" s="835"/>
      <c r="I6" s="835"/>
      <c r="J6" s="836"/>
      <c r="K6" s="835"/>
      <c r="L6" s="830"/>
      <c r="M6" s="830"/>
    </row>
    <row r="7" spans="1:13" ht="15.75">
      <c r="A7" s="830"/>
      <c r="B7" s="837"/>
      <c r="C7" s="837"/>
      <c r="D7" s="837"/>
      <c r="E7" s="837"/>
      <c r="F7" s="837"/>
      <c r="G7" s="837"/>
      <c r="H7" s="837"/>
      <c r="I7" s="830"/>
      <c r="J7" s="830"/>
      <c r="K7" s="830"/>
      <c r="L7" s="1239" t="s">
        <v>190</v>
      </c>
      <c r="M7" s="1239"/>
    </row>
    <row r="8" spans="1:13" ht="15.75">
      <c r="A8" s="830"/>
      <c r="B8" s="830"/>
      <c r="C8" s="837"/>
      <c r="D8" s="837"/>
      <c r="E8" s="837"/>
      <c r="F8" s="837"/>
      <c r="G8" s="1235" t="s">
        <v>794</v>
      </c>
      <c r="H8" s="1235"/>
      <c r="I8" s="1235"/>
      <c r="J8" s="1235"/>
      <c r="K8" s="1235"/>
      <c r="L8" s="1235"/>
      <c r="M8" s="1235"/>
    </row>
    <row r="9" spans="1:13" ht="12.75" customHeight="1">
      <c r="A9" s="1228" t="s">
        <v>25</v>
      </c>
      <c r="B9" s="1231" t="s">
        <v>3</v>
      </c>
      <c r="C9" s="1227" t="s">
        <v>655</v>
      </c>
      <c r="D9" s="1227" t="s">
        <v>653</v>
      </c>
      <c r="E9" s="1227" t="s">
        <v>226</v>
      </c>
      <c r="F9" s="1227" t="s">
        <v>225</v>
      </c>
      <c r="G9" s="1227"/>
      <c r="H9" s="1227" t="s">
        <v>187</v>
      </c>
      <c r="I9" s="1227"/>
      <c r="J9" s="1232" t="s">
        <v>432</v>
      </c>
      <c r="K9" s="1227" t="s">
        <v>189</v>
      </c>
      <c r="L9" s="1227" t="s">
        <v>409</v>
      </c>
      <c r="M9" s="1227" t="s">
        <v>242</v>
      </c>
    </row>
    <row r="10" spans="1:13">
      <c r="A10" s="1229"/>
      <c r="B10" s="1231"/>
      <c r="C10" s="1227"/>
      <c r="D10" s="1227"/>
      <c r="E10" s="1227"/>
      <c r="F10" s="1227"/>
      <c r="G10" s="1227"/>
      <c r="H10" s="1227"/>
      <c r="I10" s="1227"/>
      <c r="J10" s="1233"/>
      <c r="K10" s="1227"/>
      <c r="L10" s="1227"/>
      <c r="M10" s="1227"/>
    </row>
    <row r="11" spans="1:13" ht="27" customHeight="1">
      <c r="A11" s="1230"/>
      <c r="B11" s="1231"/>
      <c r="C11" s="1227"/>
      <c r="D11" s="1227"/>
      <c r="E11" s="1227"/>
      <c r="F11" s="838" t="s">
        <v>188</v>
      </c>
      <c r="G11" s="838" t="s">
        <v>243</v>
      </c>
      <c r="H11" s="838" t="s">
        <v>188</v>
      </c>
      <c r="I11" s="838" t="s">
        <v>243</v>
      </c>
      <c r="J11" s="1234"/>
      <c r="K11" s="1227"/>
      <c r="L11" s="1227"/>
      <c r="M11" s="1227"/>
    </row>
    <row r="12" spans="1:13">
      <c r="A12" s="839">
        <v>1</v>
      </c>
      <c r="B12" s="839">
        <v>2</v>
      </c>
      <c r="C12" s="839">
        <v>3</v>
      </c>
      <c r="D12" s="839">
        <v>4</v>
      </c>
      <c r="E12" s="839">
        <v>5</v>
      </c>
      <c r="F12" s="839">
        <v>6</v>
      </c>
      <c r="G12" s="839">
        <v>7</v>
      </c>
      <c r="H12" s="839">
        <v>8</v>
      </c>
      <c r="I12" s="839">
        <v>9</v>
      </c>
      <c r="J12" s="840"/>
      <c r="K12" s="839">
        <v>10</v>
      </c>
      <c r="L12" s="832">
        <v>11</v>
      </c>
      <c r="M12" s="832">
        <v>12</v>
      </c>
    </row>
    <row r="13" spans="1:13" ht="15.75">
      <c r="A13" s="839">
        <v>1</v>
      </c>
      <c r="B13" s="831" t="s">
        <v>825</v>
      </c>
      <c r="C13" s="841">
        <v>202.96055752264243</v>
      </c>
      <c r="D13" s="841">
        <v>5.4967940624586573</v>
      </c>
      <c r="E13" s="841">
        <v>197.46376346018377</v>
      </c>
      <c r="F13" s="841">
        <v>9161.323437431096</v>
      </c>
      <c r="G13" s="842">
        <v>228.92613504435394</v>
      </c>
      <c r="H13" s="841">
        <v>9161.323437431096</v>
      </c>
      <c r="I13" s="841">
        <v>185.62113504435399</v>
      </c>
      <c r="J13" s="843">
        <v>43.30499999999995</v>
      </c>
      <c r="K13" s="841">
        <v>17.339422478288441</v>
      </c>
      <c r="L13" s="841">
        <v>0</v>
      </c>
      <c r="M13" s="841">
        <v>0</v>
      </c>
    </row>
    <row r="14" spans="1:13" ht="15.75">
      <c r="A14" s="839">
        <v>2</v>
      </c>
      <c r="B14" s="831" t="s">
        <v>826</v>
      </c>
      <c r="C14" s="841">
        <v>68.302311097072746</v>
      </c>
      <c r="D14" s="841">
        <v>1.5076426336416084</v>
      </c>
      <c r="E14" s="841">
        <v>66.794668463431137</v>
      </c>
      <c r="F14" s="841">
        <v>2512.7377227360143</v>
      </c>
      <c r="G14" s="842">
        <v>62.788746440525607</v>
      </c>
      <c r="H14" s="841">
        <v>2512.7377227360143</v>
      </c>
      <c r="I14" s="841">
        <v>62.788746440525607</v>
      </c>
      <c r="J14" s="843">
        <v>0</v>
      </c>
      <c r="K14" s="841">
        <v>5.513564656547139</v>
      </c>
      <c r="L14" s="841">
        <v>0</v>
      </c>
      <c r="M14" s="841">
        <v>0</v>
      </c>
    </row>
    <row r="15" spans="1:13" ht="15.75">
      <c r="A15" s="839">
        <v>3</v>
      </c>
      <c r="B15" s="831" t="s">
        <v>827</v>
      </c>
      <c r="C15" s="841">
        <v>106.49193043763981</v>
      </c>
      <c r="D15" s="841">
        <v>2.4545573802849248</v>
      </c>
      <c r="E15" s="841">
        <v>104.03737305735488</v>
      </c>
      <c r="F15" s="841">
        <v>4909.0781835074085</v>
      </c>
      <c r="G15" s="842">
        <v>122.72786901424625</v>
      </c>
      <c r="H15" s="841">
        <v>4909.0781835074085</v>
      </c>
      <c r="I15" s="841">
        <v>97.797869014246004</v>
      </c>
      <c r="J15" s="843">
        <v>24.930000000000248</v>
      </c>
      <c r="K15" s="841">
        <v>8.6940614233938049</v>
      </c>
      <c r="L15" s="841">
        <v>0</v>
      </c>
      <c r="M15" s="841">
        <v>0</v>
      </c>
    </row>
    <row r="16" spans="1:13" ht="15.75">
      <c r="A16" s="839">
        <v>4</v>
      </c>
      <c r="B16" s="831" t="s">
        <v>828</v>
      </c>
      <c r="C16" s="841">
        <v>94.774725580853385</v>
      </c>
      <c r="D16" s="841">
        <v>2.6113150430619059</v>
      </c>
      <c r="E16" s="841">
        <v>92.163410537791478</v>
      </c>
      <c r="F16" s="841">
        <v>4352.1917384365097</v>
      </c>
      <c r="G16" s="842">
        <v>108.75603171441202</v>
      </c>
      <c r="H16" s="841">
        <v>4352.1917384365097</v>
      </c>
      <c r="I16" s="841">
        <v>86.636031714411999</v>
      </c>
      <c r="J16" s="843">
        <v>22.120000000000019</v>
      </c>
      <c r="K16" s="841">
        <v>8.1386938664413861</v>
      </c>
      <c r="L16" s="841">
        <v>0</v>
      </c>
      <c r="M16" s="841">
        <v>0</v>
      </c>
    </row>
    <row r="17" spans="1:13" ht="15.75">
      <c r="A17" s="839">
        <v>5</v>
      </c>
      <c r="B17" s="831" t="s">
        <v>829</v>
      </c>
      <c r="C17" s="841">
        <v>229.1112018013205</v>
      </c>
      <c r="D17" s="841">
        <v>4.4724374719456019</v>
      </c>
      <c r="E17" s="841">
        <v>224.63876432937491</v>
      </c>
      <c r="F17" s="841">
        <v>9931.1900048074349</v>
      </c>
      <c r="G17" s="842">
        <v>248.16635112744399</v>
      </c>
      <c r="H17" s="841">
        <v>9931.1900048074349</v>
      </c>
      <c r="I17" s="841">
        <v>211.16635112744399</v>
      </c>
      <c r="J17" s="843">
        <v>37</v>
      </c>
      <c r="K17" s="841">
        <v>17.944850673876516</v>
      </c>
      <c r="L17" s="841">
        <v>0</v>
      </c>
      <c r="M17" s="841">
        <v>0</v>
      </c>
    </row>
    <row r="18" spans="1:13" ht="15.75">
      <c r="A18" s="839">
        <v>6</v>
      </c>
      <c r="B18" s="831" t="s">
        <v>830</v>
      </c>
      <c r="C18" s="841">
        <v>73.926255823006557</v>
      </c>
      <c r="D18" s="841">
        <v>1.6317541135272537</v>
      </c>
      <c r="E18" s="841">
        <v>72.294501709479306</v>
      </c>
      <c r="F18" s="841">
        <v>2719.5901892120901</v>
      </c>
      <c r="G18" s="842">
        <v>67.958734451475195</v>
      </c>
      <c r="H18" s="841">
        <v>2719.5901892120901</v>
      </c>
      <c r="I18" s="841">
        <v>67.958734451475195</v>
      </c>
      <c r="J18" s="843">
        <v>0</v>
      </c>
      <c r="K18" s="841">
        <v>5.9675213715313618</v>
      </c>
      <c r="L18" s="841">
        <v>0</v>
      </c>
      <c r="M18" s="841">
        <v>0</v>
      </c>
    </row>
    <row r="19" spans="1:13" ht="15.75">
      <c r="A19" s="839">
        <v>7</v>
      </c>
      <c r="B19" s="831" t="s">
        <v>831</v>
      </c>
      <c r="C19" s="841">
        <v>47.884356214712817</v>
      </c>
      <c r="D19" s="841">
        <v>1.0569349873991174</v>
      </c>
      <c r="E19" s="841">
        <v>46.8274212273137</v>
      </c>
      <c r="F19" s="841">
        <v>1761.5583123318622</v>
      </c>
      <c r="G19" s="842">
        <v>44.019008485912487</v>
      </c>
      <c r="H19" s="841">
        <v>1761.5583123318622</v>
      </c>
      <c r="I19" s="841">
        <v>44.019008485912487</v>
      </c>
      <c r="J19" s="843">
        <v>0</v>
      </c>
      <c r="K19" s="841">
        <v>3.8653477288003302</v>
      </c>
      <c r="L19" s="841">
        <v>0</v>
      </c>
      <c r="M19" s="841">
        <v>0</v>
      </c>
    </row>
    <row r="20" spans="1:13" ht="15.75">
      <c r="A20" s="839">
        <v>8</v>
      </c>
      <c r="B20" s="831" t="s">
        <v>832</v>
      </c>
      <c r="C20" s="841">
        <v>163.79423288179785</v>
      </c>
      <c r="D20" s="841">
        <v>3.6151707188682809</v>
      </c>
      <c r="E20" s="841">
        <v>160.17906216292957</v>
      </c>
      <c r="F20" s="841">
        <v>6025.2845314471351</v>
      </c>
      <c r="G20" s="842">
        <v>150.5725344641188</v>
      </c>
      <c r="H20" s="841">
        <v>6025.2845314471351</v>
      </c>
      <c r="I20" s="841">
        <v>150.5725344641188</v>
      </c>
      <c r="J20" s="843">
        <v>0</v>
      </c>
      <c r="K20" s="841">
        <v>13.22169841767905</v>
      </c>
      <c r="L20" s="841">
        <v>0</v>
      </c>
      <c r="M20" s="841">
        <v>0</v>
      </c>
    </row>
    <row r="21" spans="1:13" ht="15.75">
      <c r="A21" s="839">
        <v>9</v>
      </c>
      <c r="B21" s="831" t="s">
        <v>833</v>
      </c>
      <c r="C21" s="841">
        <v>121.30761076338233</v>
      </c>
      <c r="D21" s="841">
        <v>2.6775759767749947</v>
      </c>
      <c r="E21" s="841">
        <v>118.63003478660734</v>
      </c>
      <c r="F21" s="841">
        <v>4462.6266279583242</v>
      </c>
      <c r="G21" s="842">
        <v>111.51535512935452</v>
      </c>
      <c r="H21" s="841">
        <v>4462.6266279583242</v>
      </c>
      <c r="I21" s="841">
        <v>111.51535512935452</v>
      </c>
      <c r="J21" s="843">
        <v>0</v>
      </c>
      <c r="K21" s="841">
        <v>9.7922556340278106</v>
      </c>
      <c r="L21" s="841">
        <v>0</v>
      </c>
      <c r="M21" s="841">
        <v>0</v>
      </c>
    </row>
    <row r="22" spans="1:13" ht="15.75">
      <c r="A22" s="839">
        <v>10</v>
      </c>
      <c r="B22" s="831" t="s">
        <v>834</v>
      </c>
      <c r="C22" s="841">
        <v>29.390386171574672</v>
      </c>
      <c r="D22" s="841">
        <v>0.64871871374444579</v>
      </c>
      <c r="E22" s="841">
        <v>28.741667457830225</v>
      </c>
      <c r="F22" s="841">
        <v>1081.197856240743</v>
      </c>
      <c r="G22" s="842">
        <v>27.017923912229957</v>
      </c>
      <c r="H22" s="841">
        <v>1081.197856240743</v>
      </c>
      <c r="I22" s="841">
        <v>27.017923912229957</v>
      </c>
      <c r="J22" s="843">
        <v>0</v>
      </c>
      <c r="K22" s="841">
        <v>2.3724622593447151</v>
      </c>
      <c r="L22" s="841">
        <v>0</v>
      </c>
      <c r="M22" s="841">
        <v>0</v>
      </c>
    </row>
    <row r="23" spans="1:13" ht="15.75">
      <c r="A23" s="839">
        <v>11</v>
      </c>
      <c r="B23" s="831" t="s">
        <v>835</v>
      </c>
      <c r="C23" s="841">
        <v>73.083560248613551</v>
      </c>
      <c r="D23" s="841">
        <v>1.6131805066556963</v>
      </c>
      <c r="E23" s="841">
        <v>71.470379741957856</v>
      </c>
      <c r="F23" s="841">
        <v>2688.6341777594939</v>
      </c>
      <c r="G23" s="842">
        <v>67.184038110507487</v>
      </c>
      <c r="H23" s="841">
        <v>2688.6341777594939</v>
      </c>
      <c r="I23" s="841">
        <v>67.184038110507487</v>
      </c>
      <c r="J23" s="843">
        <v>0</v>
      </c>
      <c r="K23" s="841">
        <v>5.8995221381060645</v>
      </c>
      <c r="L23" s="841">
        <v>0</v>
      </c>
      <c r="M23" s="841">
        <v>0</v>
      </c>
    </row>
    <row r="24" spans="1:13" ht="15.75">
      <c r="A24" s="839">
        <v>12</v>
      </c>
      <c r="B24" s="831" t="s">
        <v>836</v>
      </c>
      <c r="C24" s="841">
        <v>146.39165026071271</v>
      </c>
      <c r="D24" s="841">
        <v>3.2312980427253555</v>
      </c>
      <c r="E24" s="841">
        <v>143.16035221798737</v>
      </c>
      <c r="F24" s="841">
        <v>5385.4967378755919</v>
      </c>
      <c r="G24" s="842">
        <v>134.57449917088491</v>
      </c>
      <c r="H24" s="841">
        <v>5385.4967378755919</v>
      </c>
      <c r="I24" s="841">
        <v>134.57449917088491</v>
      </c>
      <c r="J24" s="843">
        <v>0</v>
      </c>
      <c r="K24" s="841">
        <v>11.817151089827803</v>
      </c>
      <c r="L24" s="841">
        <v>0</v>
      </c>
      <c r="M24" s="841">
        <v>0</v>
      </c>
    </row>
    <row r="25" spans="1:13" ht="15.75">
      <c r="A25" s="839">
        <v>13</v>
      </c>
      <c r="B25" s="831" t="s">
        <v>837</v>
      </c>
      <c r="C25" s="841">
        <v>223.31363404340709</v>
      </c>
      <c r="D25" s="841">
        <v>4.9290521484229677</v>
      </c>
      <c r="E25" s="841">
        <v>218.38458189498414</v>
      </c>
      <c r="F25" s="841">
        <v>8215.0869140382802</v>
      </c>
      <c r="G25" s="842">
        <v>205.2872550244258</v>
      </c>
      <c r="H25" s="841">
        <v>8215.0869140382802</v>
      </c>
      <c r="I25" s="841">
        <v>205.2872550244258</v>
      </c>
      <c r="J25" s="843">
        <v>0</v>
      </c>
      <c r="K25" s="841">
        <v>18.026379018981288</v>
      </c>
      <c r="L25" s="841">
        <v>0</v>
      </c>
      <c r="M25" s="841">
        <v>0</v>
      </c>
    </row>
    <row r="26" spans="1:13" ht="15.75">
      <c r="A26" s="839">
        <v>14</v>
      </c>
      <c r="B26" s="831" t="s">
        <v>838</v>
      </c>
      <c r="C26" s="841">
        <v>51.581908413182475</v>
      </c>
      <c r="D26" s="841">
        <v>1.2440154809882569</v>
      </c>
      <c r="E26" s="841">
        <v>50.337892932194215</v>
      </c>
      <c r="F26" s="841">
        <v>2073.3591349804283</v>
      </c>
      <c r="G26" s="842">
        <v>51.808944286702619</v>
      </c>
      <c r="H26" s="841">
        <v>2073.3591349804283</v>
      </c>
      <c r="I26" s="841">
        <v>47.318944286702596</v>
      </c>
      <c r="J26" s="843">
        <v>4.4900000000000233</v>
      </c>
      <c r="K26" s="841">
        <v>4.2629641264798792</v>
      </c>
      <c r="L26" s="841">
        <v>0</v>
      </c>
      <c r="M26" s="841">
        <v>0</v>
      </c>
    </row>
    <row r="27" spans="1:13" ht="15.75">
      <c r="A27" s="839">
        <v>15</v>
      </c>
      <c r="B27" s="831" t="s">
        <v>839</v>
      </c>
      <c r="C27" s="841">
        <v>42.0432245453324</v>
      </c>
      <c r="D27" s="841">
        <v>0.9221788556280982</v>
      </c>
      <c r="E27" s="841">
        <v>41.121045689704303</v>
      </c>
      <c r="F27" s="841">
        <v>1536.9647593801637</v>
      </c>
      <c r="G27" s="842">
        <v>38.654865284550013</v>
      </c>
      <c r="H27" s="841">
        <v>1536.9647593801637</v>
      </c>
      <c r="I27" s="841">
        <v>38.654865284550013</v>
      </c>
      <c r="J27" s="843">
        <v>0</v>
      </c>
      <c r="K27" s="841">
        <v>3.3883592607823871</v>
      </c>
      <c r="L27" s="841">
        <v>0</v>
      </c>
      <c r="M27" s="841">
        <v>0</v>
      </c>
    </row>
    <row r="28" spans="1:13" ht="15.75">
      <c r="A28" s="839">
        <v>16</v>
      </c>
      <c r="B28" s="831" t="s">
        <v>840</v>
      </c>
      <c r="C28" s="841">
        <v>23.709097001342371</v>
      </c>
      <c r="D28" s="841">
        <v>0.52338041491145548</v>
      </c>
      <c r="E28" s="841">
        <v>23.185716586430917</v>
      </c>
      <c r="F28" s="841">
        <v>872.30069151909242</v>
      </c>
      <c r="G28" s="842">
        <v>21.795183856393042</v>
      </c>
      <c r="H28" s="841">
        <v>872.30069151909242</v>
      </c>
      <c r="I28" s="841">
        <v>21.795183856393042</v>
      </c>
      <c r="J28" s="843">
        <v>0</v>
      </c>
      <c r="K28" s="841">
        <v>1.9139131449493298</v>
      </c>
      <c r="L28" s="841">
        <v>0</v>
      </c>
      <c r="M28" s="841">
        <v>0</v>
      </c>
    </row>
    <row r="29" spans="1:13" ht="15.75">
      <c r="A29" s="839">
        <v>17</v>
      </c>
      <c r="B29" s="831" t="s">
        <v>841</v>
      </c>
      <c r="C29" s="841">
        <v>140.19342919985442</v>
      </c>
      <c r="D29" s="841">
        <v>3.0944773497112141</v>
      </c>
      <c r="E29" s="841">
        <v>137.09895185014321</v>
      </c>
      <c r="F29" s="841">
        <v>5157.4622495186904</v>
      </c>
      <c r="G29" s="842">
        <v>128.8766232845866</v>
      </c>
      <c r="H29" s="841">
        <v>5157.4622495186904</v>
      </c>
      <c r="I29" s="841">
        <v>128.8766232845866</v>
      </c>
      <c r="J29" s="843">
        <v>0</v>
      </c>
      <c r="K29" s="841">
        <v>11.316805915267821</v>
      </c>
      <c r="L29" s="841">
        <v>0</v>
      </c>
      <c r="M29" s="841">
        <v>0</v>
      </c>
    </row>
    <row r="30" spans="1:13" ht="15.75">
      <c r="A30" s="839">
        <v>18</v>
      </c>
      <c r="B30" s="831" t="s">
        <v>842</v>
      </c>
      <c r="C30" s="841">
        <v>78.579294226534614</v>
      </c>
      <c r="D30" s="841">
        <v>2.3346963184339162</v>
      </c>
      <c r="E30" s="841">
        <v>76.244597908100701</v>
      </c>
      <c r="F30" s="841">
        <v>3891.160530723193</v>
      </c>
      <c r="G30" s="842">
        <v>97.231928847622385</v>
      </c>
      <c r="H30" s="841">
        <v>3891.160530723193</v>
      </c>
      <c r="I30" s="841">
        <v>71.671928847622397</v>
      </c>
      <c r="J30" s="843">
        <v>25.559999999999988</v>
      </c>
      <c r="K30" s="841">
        <v>6.9073653789122176</v>
      </c>
      <c r="L30" s="841">
        <v>0</v>
      </c>
      <c r="M30" s="841">
        <v>0</v>
      </c>
    </row>
    <row r="31" spans="1:13" ht="15.75">
      <c r="A31" s="839">
        <v>19</v>
      </c>
      <c r="B31" s="831" t="s">
        <v>843</v>
      </c>
      <c r="C31" s="841">
        <v>86.954306877608431</v>
      </c>
      <c r="D31" s="841">
        <v>1.9193472581840771</v>
      </c>
      <c r="E31" s="841">
        <v>85.034959619424356</v>
      </c>
      <c r="F31" s="841">
        <v>3198.9120969734622</v>
      </c>
      <c r="G31" s="842">
        <v>79.935100225065199</v>
      </c>
      <c r="H31" s="841">
        <v>3198.9120969734622</v>
      </c>
      <c r="I31" s="841">
        <v>79.935100225065199</v>
      </c>
      <c r="J31" s="843">
        <v>0</v>
      </c>
      <c r="K31" s="841">
        <v>7.0192066525432324</v>
      </c>
      <c r="L31" s="841">
        <v>0</v>
      </c>
      <c r="M31" s="841">
        <v>0</v>
      </c>
    </row>
    <row r="32" spans="1:13" ht="15.75">
      <c r="A32" s="839">
        <v>20</v>
      </c>
      <c r="B32" s="831" t="s">
        <v>844</v>
      </c>
      <c r="C32" s="841">
        <v>95.108355178538375</v>
      </c>
      <c r="D32" s="841">
        <v>2.0992910336579618</v>
      </c>
      <c r="E32" s="841">
        <v>93.009064144880412</v>
      </c>
      <c r="F32" s="841">
        <v>3498.8183894299364</v>
      </c>
      <c r="G32" s="842">
        <v>87.430968363301758</v>
      </c>
      <c r="H32" s="841">
        <v>3498.8183894299364</v>
      </c>
      <c r="I32" s="841">
        <v>87.430968363301758</v>
      </c>
      <c r="J32" s="843">
        <v>0</v>
      </c>
      <c r="K32" s="841">
        <v>7.6773868152366163</v>
      </c>
      <c r="L32" s="841">
        <v>0</v>
      </c>
      <c r="M32" s="841">
        <v>0</v>
      </c>
    </row>
    <row r="33" spans="1:13" ht="15.75">
      <c r="A33" s="839">
        <v>21</v>
      </c>
      <c r="B33" s="831" t="s">
        <v>845</v>
      </c>
      <c r="C33" s="841">
        <v>126.24786765799401</v>
      </c>
      <c r="D33" s="841">
        <v>2.7875095557778327</v>
      </c>
      <c r="E33" s="842">
        <v>123.46035810221618</v>
      </c>
      <c r="F33" s="842">
        <v>4645.8492596297219</v>
      </c>
      <c r="G33" s="842">
        <v>116.05598618369635</v>
      </c>
      <c r="H33" s="842">
        <v>4645.8492596297219</v>
      </c>
      <c r="I33" s="842">
        <v>116.05598618369635</v>
      </c>
      <c r="J33" s="843">
        <v>0</v>
      </c>
      <c r="K33" s="841">
        <v>10.191881474297659</v>
      </c>
      <c r="L33" s="841">
        <v>0</v>
      </c>
      <c r="M33" s="841">
        <v>0</v>
      </c>
    </row>
    <row r="34" spans="1:13" ht="15.75">
      <c r="A34" s="839">
        <v>22</v>
      </c>
      <c r="B34" s="831" t="s">
        <v>846</v>
      </c>
      <c r="C34" s="841">
        <v>85.86742175545929</v>
      </c>
      <c r="D34" s="841">
        <v>1.8953399972840712</v>
      </c>
      <c r="E34" s="842">
        <v>83.972081758175221</v>
      </c>
      <c r="F34" s="842">
        <v>3158.8999954734518</v>
      </c>
      <c r="G34" s="842">
        <v>78.93596705976239</v>
      </c>
      <c r="H34" s="842">
        <v>3158.8999954734518</v>
      </c>
      <c r="I34" s="842">
        <v>78.93596705976239</v>
      </c>
      <c r="J34" s="843">
        <v>0</v>
      </c>
      <c r="K34" s="841">
        <v>6.9314546956968996</v>
      </c>
      <c r="L34" s="841">
        <v>0</v>
      </c>
      <c r="M34" s="841">
        <v>0</v>
      </c>
    </row>
    <row r="35" spans="1:13" ht="15.75">
      <c r="A35" s="839">
        <v>23</v>
      </c>
      <c r="B35" s="831" t="s">
        <v>847</v>
      </c>
      <c r="C35" s="841">
        <v>132.23572604410145</v>
      </c>
      <c r="D35" s="841">
        <v>2.9189721737959688</v>
      </c>
      <c r="E35" s="842">
        <v>129.31675387030549</v>
      </c>
      <c r="F35" s="842">
        <v>4864.9536229932819</v>
      </c>
      <c r="G35" s="842">
        <v>121.56115235035297</v>
      </c>
      <c r="H35" s="842">
        <v>4864.9536229932819</v>
      </c>
      <c r="I35" s="842">
        <v>121.56115235035297</v>
      </c>
      <c r="J35" s="843">
        <v>0</v>
      </c>
      <c r="K35" s="841">
        <v>10.674573693748485</v>
      </c>
      <c r="L35" s="841">
        <v>0</v>
      </c>
      <c r="M35" s="841">
        <v>0</v>
      </c>
    </row>
    <row r="36" spans="1:13" ht="15.75">
      <c r="A36" s="839">
        <v>24</v>
      </c>
      <c r="B36" s="831" t="s">
        <v>848</v>
      </c>
      <c r="C36" s="841">
        <v>75.150703491238446</v>
      </c>
      <c r="D36" s="841">
        <v>2.1960099290550876</v>
      </c>
      <c r="E36" s="842">
        <v>72.954693562183351</v>
      </c>
      <c r="F36" s="842">
        <v>3660.0165484251461</v>
      </c>
      <c r="G36" s="842">
        <v>91.459332169753054</v>
      </c>
      <c r="H36" s="842">
        <v>3660.0165484251461</v>
      </c>
      <c r="I36" s="842">
        <v>68.579332169753101</v>
      </c>
      <c r="J36" s="843">
        <v>22.879999999999953</v>
      </c>
      <c r="K36" s="841">
        <v>6.5713713214853442</v>
      </c>
      <c r="L36" s="841">
        <v>0</v>
      </c>
      <c r="M36" s="841">
        <v>0</v>
      </c>
    </row>
    <row r="37" spans="1:13" ht="15.75">
      <c r="A37" s="839">
        <v>25</v>
      </c>
      <c r="B37" s="831" t="s">
        <v>849</v>
      </c>
      <c r="C37" s="841">
        <v>53.354985810251335</v>
      </c>
      <c r="D37" s="841">
        <v>1.4349582524769233</v>
      </c>
      <c r="E37" s="842">
        <v>51.920027557774411</v>
      </c>
      <c r="F37" s="842">
        <v>1953.1842596515912</v>
      </c>
      <c r="G37" s="842">
        <v>48.806192477697323</v>
      </c>
      <c r="H37" s="842">
        <v>1953.1842596515912</v>
      </c>
      <c r="I37" s="842">
        <v>48.806192477697323</v>
      </c>
      <c r="J37" s="843">
        <v>0</v>
      </c>
      <c r="K37" s="841">
        <v>4.5487933325540126</v>
      </c>
      <c r="L37" s="841">
        <v>0</v>
      </c>
      <c r="M37" s="841">
        <v>0</v>
      </c>
    </row>
    <row r="38" spans="1:13" s="691" customFormat="1" ht="15.75">
      <c r="A38" s="839">
        <v>26</v>
      </c>
      <c r="B38" s="831" t="s">
        <v>850</v>
      </c>
      <c r="C38" s="841">
        <v>58.572706644832081</v>
      </c>
      <c r="D38" s="841">
        <v>1.4500996259713248</v>
      </c>
      <c r="E38" s="844">
        <v>57.122607018860755</v>
      </c>
      <c r="F38" s="844">
        <v>2148.8277145622105</v>
      </c>
      <c r="G38" s="844">
        <v>53.696754106844104</v>
      </c>
      <c r="H38" s="844">
        <v>2148.8277145622105</v>
      </c>
      <c r="I38" s="844">
        <v>53.696754106844104</v>
      </c>
      <c r="J38" s="843">
        <v>0</v>
      </c>
      <c r="K38" s="841">
        <v>4.8759525379879776</v>
      </c>
      <c r="L38" s="841">
        <v>0</v>
      </c>
      <c r="M38" s="841">
        <v>0</v>
      </c>
    </row>
    <row r="39" spans="1:13" s="691" customFormat="1" ht="15.75">
      <c r="A39" s="839">
        <v>27</v>
      </c>
      <c r="B39" s="831" t="s">
        <v>851</v>
      </c>
      <c r="C39" s="841">
        <v>68.680657653223747</v>
      </c>
      <c r="D39" s="841">
        <v>1.5803493026445232</v>
      </c>
      <c r="E39" s="844">
        <v>67.100308350579226</v>
      </c>
      <c r="F39" s="844">
        <v>2848.3803497658078</v>
      </c>
      <c r="G39" s="844">
        <v>71.176055979111865</v>
      </c>
      <c r="H39" s="844">
        <v>2848.3803497658078</v>
      </c>
      <c r="I39" s="844">
        <v>63.076055979111892</v>
      </c>
      <c r="J39" s="843">
        <v>8.099999999999973</v>
      </c>
      <c r="K39" s="841">
        <v>5.6046016741118549</v>
      </c>
      <c r="L39" s="841">
        <v>0</v>
      </c>
      <c r="M39" s="841">
        <v>0</v>
      </c>
    </row>
    <row r="40" spans="1:13" ht="15.75" customHeight="1">
      <c r="A40" s="839">
        <v>28</v>
      </c>
      <c r="B40" s="831" t="s">
        <v>852</v>
      </c>
      <c r="C40" s="841">
        <v>44.760918716055954</v>
      </c>
      <c r="D40" s="841">
        <v>0.98797808221502781</v>
      </c>
      <c r="E40" s="842">
        <v>43.772940633840925</v>
      </c>
      <c r="F40" s="845">
        <v>1646.6301370250462</v>
      </c>
      <c r="G40" s="845">
        <v>41.147716331867763</v>
      </c>
      <c r="H40" s="845">
        <v>1646.6301370250462</v>
      </c>
      <c r="I40" s="845">
        <v>41.147716331867763</v>
      </c>
      <c r="J40" s="843">
        <v>0</v>
      </c>
      <c r="K40" s="841">
        <v>3.6132023841881917</v>
      </c>
      <c r="L40" s="841">
        <v>0</v>
      </c>
      <c r="M40" s="841">
        <v>0</v>
      </c>
    </row>
    <row r="41" spans="1:13" ht="15.75" customHeight="1">
      <c r="A41" s="839">
        <v>29</v>
      </c>
      <c r="B41" s="831" t="s">
        <v>1041</v>
      </c>
      <c r="C41" s="841">
        <v>89.190876653113293</v>
      </c>
      <c r="D41" s="841">
        <v>1.8316657166999599</v>
      </c>
      <c r="E41" s="842">
        <v>87.359210936413334</v>
      </c>
      <c r="F41" s="845">
        <v>3286.2451994480443</v>
      </c>
      <c r="G41" s="845">
        <v>82.119957639042426</v>
      </c>
      <c r="H41" s="845">
        <v>3286.2451994480443</v>
      </c>
      <c r="I41" s="845">
        <v>82.119957639042426</v>
      </c>
      <c r="J41" s="843">
        <v>0</v>
      </c>
      <c r="K41" s="841">
        <v>7.0709190140708671</v>
      </c>
      <c r="L41" s="841">
        <v>0</v>
      </c>
      <c r="M41" s="841">
        <v>0</v>
      </c>
    </row>
    <row r="42" spans="1:13" ht="15.75" customHeight="1">
      <c r="A42" s="839">
        <v>30</v>
      </c>
      <c r="B42" s="831" t="s">
        <v>1042</v>
      </c>
      <c r="C42" s="841">
        <v>41.645036033876707</v>
      </c>
      <c r="D42" s="841">
        <v>1.0309908721863059</v>
      </c>
      <c r="E42" s="842">
        <v>40.614045161690399</v>
      </c>
      <c r="F42" s="846">
        <v>1527.72266844155</v>
      </c>
      <c r="G42" s="846">
        <v>38.178271443589395</v>
      </c>
      <c r="H42" s="846">
        <v>1527.72266844155</v>
      </c>
      <c r="I42" s="846">
        <v>38.178271443589395</v>
      </c>
      <c r="J42" s="843">
        <v>0</v>
      </c>
      <c r="K42" s="841">
        <v>3.4667645902873119</v>
      </c>
      <c r="L42" s="841">
        <v>0</v>
      </c>
      <c r="M42" s="841">
        <v>0</v>
      </c>
    </row>
    <row r="43" spans="1:13" ht="15.75">
      <c r="A43" s="839">
        <v>31</v>
      </c>
      <c r="B43" s="831" t="s">
        <v>1043</v>
      </c>
      <c r="C43" s="841">
        <v>61.769287387070761</v>
      </c>
      <c r="D43" s="841">
        <v>1.3634436065000703</v>
      </c>
      <c r="E43" s="842">
        <v>60.405843780570692</v>
      </c>
      <c r="F43" s="842">
        <v>2272.4060108334506</v>
      </c>
      <c r="G43" s="842">
        <v>56.783083080062696</v>
      </c>
      <c r="H43" s="842">
        <v>2272.4060108334506</v>
      </c>
      <c r="I43" s="842">
        <v>56.783083080062696</v>
      </c>
      <c r="J43" s="843">
        <v>0</v>
      </c>
      <c r="K43" s="841">
        <v>4.9862043070080659</v>
      </c>
      <c r="L43" s="841">
        <v>0</v>
      </c>
      <c r="M43" s="841">
        <v>0</v>
      </c>
    </row>
    <row r="44" spans="1:13" ht="15.75">
      <c r="A44" s="839">
        <v>32</v>
      </c>
      <c r="B44" s="831" t="s">
        <v>1044</v>
      </c>
      <c r="C44" s="841">
        <v>91.438359324396075</v>
      </c>
      <c r="D44" s="841">
        <v>2.4078810037390501</v>
      </c>
      <c r="E44" s="842">
        <v>89.030478320657025</v>
      </c>
      <c r="F44" s="842">
        <v>3349.1269718846324</v>
      </c>
      <c r="G44" s="842">
        <v>83.690992969220744</v>
      </c>
      <c r="H44" s="842">
        <v>3349.1269718846324</v>
      </c>
      <c r="I44" s="842">
        <v>83.690992969220744</v>
      </c>
      <c r="J44" s="843">
        <v>0</v>
      </c>
      <c r="K44" s="841">
        <v>7.7473663551753305</v>
      </c>
      <c r="L44" s="841">
        <v>0</v>
      </c>
      <c r="M44" s="841">
        <v>0</v>
      </c>
    </row>
    <row r="45" spans="1:13" ht="15.75">
      <c r="A45" s="839">
        <v>33</v>
      </c>
      <c r="B45" s="831" t="s">
        <v>857</v>
      </c>
      <c r="C45" s="841">
        <v>38.35</v>
      </c>
      <c r="D45" s="841">
        <v>1.1499999999999999</v>
      </c>
      <c r="E45" s="842">
        <v>37.190600148628846</v>
      </c>
      <c r="F45" s="842">
        <v>1707.6829755591134</v>
      </c>
      <c r="G45" s="842">
        <v>42.672541970886279</v>
      </c>
      <c r="H45" s="842">
        <v>1707.6829755591134</v>
      </c>
      <c r="I45" s="842">
        <v>34.9225419708863</v>
      </c>
      <c r="J45" s="843">
        <v>7.7499999999999787</v>
      </c>
      <c r="K45" s="841">
        <v>3.4204511999735772</v>
      </c>
      <c r="L45" s="841">
        <v>0</v>
      </c>
      <c r="M45" s="841">
        <v>0</v>
      </c>
    </row>
    <row r="46" spans="1:13" ht="15.75">
      <c r="A46" s="834" t="s">
        <v>89</v>
      </c>
      <c r="B46" s="847"/>
      <c r="C46" s="842">
        <f>SUM(C13:C45)</f>
        <v>3066.166575460742</v>
      </c>
      <c r="D46" s="842">
        <f t="shared" ref="D46:M46" si="0">SUM(D13:D45)</f>
        <v>71.119016629371941</v>
      </c>
      <c r="E46" s="842">
        <f t="shared" si="0"/>
        <v>2995.0381589799999</v>
      </c>
      <c r="F46" s="842">
        <f t="shared" si="0"/>
        <v>120504.90000000004</v>
      </c>
      <c r="G46" s="842">
        <f t="shared" si="0"/>
        <v>3011.5121000000004</v>
      </c>
      <c r="H46" s="842">
        <f t="shared" si="0"/>
        <v>120504.90000000004</v>
      </c>
      <c r="I46" s="842">
        <f t="shared" si="0"/>
        <v>2815.3770999999997</v>
      </c>
      <c r="J46" s="842">
        <f t="shared" si="0"/>
        <v>196.13500000000013</v>
      </c>
      <c r="K46" s="842">
        <f>SUM(K13:K45)</f>
        <v>250.78246863160271</v>
      </c>
      <c r="L46" s="842">
        <f t="shared" si="0"/>
        <v>0</v>
      </c>
      <c r="M46" s="842">
        <f t="shared" si="0"/>
        <v>0</v>
      </c>
    </row>
    <row r="47" spans="1:13">
      <c r="A47" s="830"/>
      <c r="B47" s="830"/>
      <c r="C47" s="833"/>
      <c r="D47" s="848"/>
      <c r="E47" s="830"/>
      <c r="F47" s="830"/>
      <c r="G47" s="848"/>
      <c r="H47" s="830"/>
      <c r="I47" s="830"/>
      <c r="J47" s="830"/>
      <c r="K47" s="830"/>
      <c r="L47" s="830"/>
      <c r="M47" s="830"/>
    </row>
    <row r="48" spans="1:13" s="994" customFormat="1" ht="15.75" customHeight="1">
      <c r="A48" s="15" t="s">
        <v>12</v>
      </c>
      <c r="B48" s="15"/>
      <c r="C48" s="15"/>
      <c r="D48" s="15"/>
      <c r="E48" s="15"/>
      <c r="F48" s="15"/>
      <c r="G48" s="15"/>
      <c r="I48" s="1202"/>
      <c r="J48" s="1202"/>
    </row>
    <row r="49" spans="10:14" s="994" customFormat="1" ht="15.6" customHeight="1">
      <c r="J49" s="1040" t="s">
        <v>1106</v>
      </c>
      <c r="K49" s="1040"/>
      <c r="L49" s="1040"/>
      <c r="M49" s="998"/>
      <c r="N49" s="998"/>
    </row>
    <row r="50" spans="10:14" s="994" customFormat="1" ht="15.6" customHeight="1">
      <c r="J50" s="1040" t="s">
        <v>481</v>
      </c>
      <c r="K50" s="1040"/>
      <c r="L50" s="1040"/>
      <c r="M50" s="998"/>
      <c r="N50" s="998"/>
    </row>
    <row r="51" spans="10:14" s="994" customFormat="1" ht="15.6" customHeight="1">
      <c r="J51" s="1040" t="s">
        <v>1107</v>
      </c>
      <c r="K51" s="1040"/>
      <c r="L51" s="1040"/>
      <c r="M51" s="998"/>
      <c r="N51" s="998"/>
    </row>
  </sheetData>
  <mergeCells count="20">
    <mergeCell ref="G8:M8"/>
    <mergeCell ref="B1:M1"/>
    <mergeCell ref="B3:K3"/>
    <mergeCell ref="B4:K4"/>
    <mergeCell ref="L7:M7"/>
    <mergeCell ref="A9:A11"/>
    <mergeCell ref="M9:M11"/>
    <mergeCell ref="L9:L11"/>
    <mergeCell ref="B9:B11"/>
    <mergeCell ref="C9:C11"/>
    <mergeCell ref="J9:J11"/>
    <mergeCell ref="F9:G10"/>
    <mergeCell ref="H9:I10"/>
    <mergeCell ref="K9:K11"/>
    <mergeCell ref="J49:L49"/>
    <mergeCell ref="J50:L50"/>
    <mergeCell ref="J51:L51"/>
    <mergeCell ref="D9:D11"/>
    <mergeCell ref="E9:E11"/>
    <mergeCell ref="I48:J48"/>
  </mergeCells>
  <printOptions horizontalCentered="1"/>
  <pageMargins left="0.70866141732283472" right="0.70866141732283472" top="0.63" bottom="0" header="0.79" footer="0.31496062992125984"/>
  <pageSetup paperSize="9" scale="81"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S37"/>
  <sheetViews>
    <sheetView topLeftCell="A25" zoomScaleSheetLayoutView="90" workbookViewId="0">
      <selection activeCell="E13" sqref="E13"/>
    </sheetView>
  </sheetViews>
  <sheetFormatPr defaultColWidth="9.140625" defaultRowHeight="12.75"/>
  <cols>
    <col min="1" max="1" width="5.5703125" style="16" customWidth="1"/>
    <col min="2" max="2" width="8.42578125" style="16" customWidth="1"/>
    <col min="3" max="3" width="10.5703125" style="16" customWidth="1"/>
    <col min="4" max="4" width="9.85546875" style="16" customWidth="1"/>
    <col min="5" max="5" width="8.7109375" style="16" customWidth="1"/>
    <col min="6" max="6" width="10.85546875" style="16" customWidth="1"/>
    <col min="7" max="7" width="15.85546875" style="16" customWidth="1"/>
    <col min="8" max="8" width="12.42578125" style="16" customWidth="1"/>
    <col min="9" max="9" width="12.140625" style="16" customWidth="1"/>
    <col min="10" max="10" width="9" style="16" customWidth="1"/>
    <col min="11" max="11" width="12" style="16" customWidth="1"/>
    <col min="12" max="12" width="17.28515625" style="16" customWidth="1"/>
    <col min="13" max="13" width="9.140625" style="16" hidden="1" customWidth="1"/>
    <col min="14" max="16384" width="9.140625" style="16"/>
  </cols>
  <sheetData>
    <row r="1" spans="1:19" customFormat="1" ht="15">
      <c r="D1" s="33"/>
      <c r="E1" s="33"/>
      <c r="F1" s="33"/>
      <c r="G1" s="33"/>
      <c r="H1" s="33"/>
      <c r="I1" s="33"/>
      <c r="J1" s="33"/>
      <c r="K1" s="33"/>
      <c r="L1" s="1248" t="s">
        <v>433</v>
      </c>
      <c r="M1" s="1248"/>
      <c r="N1" s="1248"/>
      <c r="O1" s="39"/>
      <c r="P1" s="39"/>
    </row>
    <row r="2" spans="1:19" customFormat="1" ht="15">
      <c r="A2" s="1190" t="s">
        <v>0</v>
      </c>
      <c r="B2" s="1190"/>
      <c r="C2" s="1190"/>
      <c r="D2" s="1190"/>
      <c r="E2" s="1190"/>
      <c r="F2" s="1190"/>
      <c r="G2" s="1190"/>
      <c r="H2" s="1190"/>
      <c r="I2" s="1190"/>
      <c r="J2" s="1190"/>
      <c r="K2" s="1190"/>
      <c r="L2" s="1190"/>
      <c r="M2" s="41"/>
      <c r="N2" s="41"/>
      <c r="O2" s="41"/>
      <c r="P2" s="41"/>
    </row>
    <row r="3" spans="1:19" customFormat="1" ht="20.25">
      <c r="A3" s="1249" t="s">
        <v>636</v>
      </c>
      <c r="B3" s="1249"/>
      <c r="C3" s="1249"/>
      <c r="D3" s="1249"/>
      <c r="E3" s="1249"/>
      <c r="F3" s="1249"/>
      <c r="G3" s="1249"/>
      <c r="H3" s="1249"/>
      <c r="I3" s="1249"/>
      <c r="J3" s="1249"/>
      <c r="K3" s="1249"/>
      <c r="L3" s="1249"/>
      <c r="M3" s="40"/>
      <c r="N3" s="40"/>
      <c r="O3" s="40"/>
      <c r="P3" s="40"/>
    </row>
    <row r="4" spans="1:19" customFormat="1" ht="10.5" customHeight="1"/>
    <row r="5" spans="1:19" ht="19.5" customHeight="1">
      <c r="A5" s="1191" t="s">
        <v>656</v>
      </c>
      <c r="B5" s="1191"/>
      <c r="C5" s="1191"/>
      <c r="D5" s="1191"/>
      <c r="E5" s="1191"/>
      <c r="F5" s="1191"/>
      <c r="G5" s="1191"/>
      <c r="H5" s="1191"/>
      <c r="I5" s="1191"/>
      <c r="J5" s="1191"/>
      <c r="K5" s="1191"/>
      <c r="L5" s="1191"/>
    </row>
    <row r="6" spans="1:19">
      <c r="A6" s="24"/>
      <c r="B6" s="24"/>
      <c r="C6" s="24"/>
      <c r="D6" s="24"/>
      <c r="E6" s="24"/>
      <c r="F6" s="24"/>
      <c r="G6" s="24"/>
      <c r="H6" s="24"/>
      <c r="I6" s="24"/>
      <c r="J6" s="24"/>
      <c r="K6" s="24"/>
      <c r="L6" s="24"/>
    </row>
    <row r="7" spans="1:19">
      <c r="A7" s="1092" t="s">
        <v>1061</v>
      </c>
      <c r="B7" s="1092"/>
      <c r="C7" s="1092"/>
      <c r="F7" s="1214" t="s">
        <v>20</v>
      </c>
      <c r="G7" s="1214"/>
      <c r="H7" s="1214"/>
      <c r="I7" s="1214"/>
      <c r="J7" s="1214"/>
      <c r="K7" s="1214"/>
      <c r="L7" s="1214"/>
    </row>
    <row r="8" spans="1:19">
      <c r="A8" s="15"/>
      <c r="F8" s="17"/>
      <c r="G8" s="95"/>
      <c r="H8" s="95"/>
      <c r="I8" s="1194" t="s">
        <v>794</v>
      </c>
      <c r="J8" s="1194"/>
      <c r="K8" s="1194"/>
      <c r="L8" s="1194"/>
    </row>
    <row r="9" spans="1:19" s="15" customFormat="1">
      <c r="A9" s="1083" t="s">
        <v>2</v>
      </c>
      <c r="B9" s="1083" t="s">
        <v>3</v>
      </c>
      <c r="C9" s="1090" t="s">
        <v>26</v>
      </c>
      <c r="D9" s="1100"/>
      <c r="E9" s="1100"/>
      <c r="F9" s="1100"/>
      <c r="G9" s="1100"/>
      <c r="H9" s="1090" t="s">
        <v>27</v>
      </c>
      <c r="I9" s="1100"/>
      <c r="J9" s="1100"/>
      <c r="K9" s="1100"/>
      <c r="L9" s="1100"/>
      <c r="R9" s="29"/>
      <c r="S9" s="30"/>
    </row>
    <row r="10" spans="1:19" s="15" customFormat="1" ht="63.75">
      <c r="A10" s="1083"/>
      <c r="B10" s="1083"/>
      <c r="C10" s="5" t="s">
        <v>651</v>
      </c>
      <c r="D10" s="5" t="s">
        <v>653</v>
      </c>
      <c r="E10" s="5" t="s">
        <v>70</v>
      </c>
      <c r="F10" s="5" t="s">
        <v>71</v>
      </c>
      <c r="G10" s="5" t="s">
        <v>366</v>
      </c>
      <c r="H10" s="5" t="s">
        <v>651</v>
      </c>
      <c r="I10" s="5" t="s">
        <v>653</v>
      </c>
      <c r="J10" s="5" t="s">
        <v>70</v>
      </c>
      <c r="K10" s="5" t="s">
        <v>71</v>
      </c>
      <c r="L10" s="5" t="s">
        <v>367</v>
      </c>
    </row>
    <row r="11" spans="1:19" s="15" customFormat="1">
      <c r="A11" s="5">
        <v>1</v>
      </c>
      <c r="B11" s="5">
        <v>2</v>
      </c>
      <c r="C11" s="5">
        <v>3</v>
      </c>
      <c r="D11" s="5">
        <v>4</v>
      </c>
      <c r="E11" s="5">
        <v>5</v>
      </c>
      <c r="F11" s="5">
        <v>6</v>
      </c>
      <c r="G11" s="5">
        <v>7</v>
      </c>
      <c r="H11" s="5">
        <v>8</v>
      </c>
      <c r="I11" s="5">
        <v>9</v>
      </c>
      <c r="J11" s="5">
        <v>10</v>
      </c>
      <c r="K11" s="5">
        <v>11</v>
      </c>
      <c r="L11" s="5">
        <v>12</v>
      </c>
    </row>
    <row r="12" spans="1:19">
      <c r="A12" s="19">
        <v>1</v>
      </c>
      <c r="B12" s="20"/>
      <c r="C12" s="20"/>
      <c r="D12" s="20"/>
      <c r="E12" s="20"/>
      <c r="F12" s="20"/>
      <c r="G12" s="20"/>
      <c r="H12" s="27"/>
      <c r="I12" s="27"/>
      <c r="J12" s="27"/>
      <c r="K12" s="27"/>
      <c r="L12" s="20"/>
    </row>
    <row r="13" spans="1:19">
      <c r="A13" s="19">
        <v>2</v>
      </c>
      <c r="B13" s="20"/>
      <c r="C13" s="20"/>
      <c r="D13" s="20"/>
      <c r="E13" s="20"/>
      <c r="F13" s="20"/>
      <c r="G13" s="20"/>
      <c r="H13" s="27"/>
      <c r="I13" s="27"/>
      <c r="J13" s="27"/>
      <c r="K13" s="27"/>
      <c r="L13" s="20"/>
    </row>
    <row r="14" spans="1:19">
      <c r="A14" s="19">
        <v>3</v>
      </c>
      <c r="B14" s="20"/>
      <c r="C14" s="20"/>
      <c r="D14" s="20"/>
      <c r="E14" s="20"/>
      <c r="F14" s="20"/>
      <c r="G14" s="20"/>
      <c r="H14" s="27"/>
      <c r="I14" s="27"/>
      <c r="J14" s="27"/>
      <c r="K14" s="27"/>
      <c r="L14" s="20"/>
    </row>
    <row r="15" spans="1:19">
      <c r="A15" s="19">
        <v>4</v>
      </c>
      <c r="B15" s="20"/>
      <c r="C15" s="20"/>
      <c r="D15" s="20"/>
      <c r="E15" s="20"/>
      <c r="F15" s="20"/>
      <c r="G15" s="20"/>
      <c r="H15" s="27"/>
      <c r="I15" s="27"/>
      <c r="J15" s="27"/>
      <c r="K15" s="27"/>
      <c r="L15" s="20"/>
    </row>
    <row r="16" spans="1:19">
      <c r="A16" s="19">
        <v>5</v>
      </c>
      <c r="B16" s="20"/>
      <c r="C16" s="20"/>
      <c r="D16" s="20"/>
      <c r="E16" s="1203" t="s">
        <v>936</v>
      </c>
      <c r="F16" s="1241"/>
      <c r="G16" s="1241"/>
      <c r="H16" s="1241"/>
      <c r="I16" s="1241"/>
      <c r="J16" s="1242"/>
      <c r="K16" s="27"/>
      <c r="L16" s="20"/>
    </row>
    <row r="17" spans="1:12">
      <c r="A17" s="19">
        <v>6</v>
      </c>
      <c r="B17" s="20"/>
      <c r="C17" s="20"/>
      <c r="D17" s="20"/>
      <c r="E17" s="1243"/>
      <c r="F17" s="1123"/>
      <c r="G17" s="1123"/>
      <c r="H17" s="1123"/>
      <c r="I17" s="1123"/>
      <c r="J17" s="1244"/>
      <c r="K17" s="27"/>
      <c r="L17" s="20"/>
    </row>
    <row r="18" spans="1:12">
      <c r="A18" s="19">
        <v>7</v>
      </c>
      <c r="B18" s="20"/>
      <c r="C18" s="20"/>
      <c r="D18" s="20"/>
      <c r="E18" s="1243"/>
      <c r="F18" s="1123"/>
      <c r="G18" s="1123"/>
      <c r="H18" s="1123"/>
      <c r="I18" s="1123"/>
      <c r="J18" s="1244"/>
      <c r="K18" s="27"/>
      <c r="L18" s="20"/>
    </row>
    <row r="19" spans="1:12">
      <c r="A19" s="19">
        <v>8</v>
      </c>
      <c r="B19" s="20"/>
      <c r="C19" s="20"/>
      <c r="D19" s="20"/>
      <c r="E19" s="1243"/>
      <c r="F19" s="1123"/>
      <c r="G19" s="1123"/>
      <c r="H19" s="1123"/>
      <c r="I19" s="1123"/>
      <c r="J19" s="1244"/>
      <c r="K19" s="27"/>
      <c r="L19" s="20"/>
    </row>
    <row r="20" spans="1:12">
      <c r="A20" s="19">
        <v>9</v>
      </c>
      <c r="B20" s="20"/>
      <c r="C20" s="20"/>
      <c r="D20" s="20"/>
      <c r="E20" s="1243"/>
      <c r="F20" s="1123"/>
      <c r="G20" s="1123"/>
      <c r="H20" s="1123"/>
      <c r="I20" s="1123"/>
      <c r="J20" s="1244"/>
      <c r="K20" s="27"/>
      <c r="L20" s="20"/>
    </row>
    <row r="21" spans="1:12">
      <c r="A21" s="19">
        <v>10</v>
      </c>
      <c r="B21" s="20"/>
      <c r="C21" s="20"/>
      <c r="D21" s="20"/>
      <c r="E21" s="1243"/>
      <c r="F21" s="1123"/>
      <c r="G21" s="1123"/>
      <c r="H21" s="1123"/>
      <c r="I21" s="1123"/>
      <c r="J21" s="1244"/>
      <c r="K21" s="27"/>
      <c r="L21" s="20"/>
    </row>
    <row r="22" spans="1:12">
      <c r="A22" s="19">
        <v>11</v>
      </c>
      <c r="B22" s="20"/>
      <c r="C22" s="20"/>
      <c r="D22" s="20"/>
      <c r="E22" s="1243"/>
      <c r="F22" s="1123"/>
      <c r="G22" s="1123"/>
      <c r="H22" s="1123"/>
      <c r="I22" s="1123"/>
      <c r="J22" s="1244"/>
      <c r="K22" s="27"/>
      <c r="L22" s="20"/>
    </row>
    <row r="23" spans="1:12">
      <c r="A23" s="19">
        <v>12</v>
      </c>
      <c r="B23" s="20"/>
      <c r="C23" s="20"/>
      <c r="D23" s="20"/>
      <c r="E23" s="1245"/>
      <c r="F23" s="1246"/>
      <c r="G23" s="1246"/>
      <c r="H23" s="1246"/>
      <c r="I23" s="1246"/>
      <c r="J23" s="1247"/>
      <c r="K23" s="27"/>
      <c r="L23" s="20"/>
    </row>
    <row r="24" spans="1:12">
      <c r="A24" s="19">
        <v>13</v>
      </c>
      <c r="B24" s="20"/>
      <c r="C24" s="20"/>
      <c r="D24" s="20"/>
      <c r="E24" s="20"/>
      <c r="F24" s="20"/>
      <c r="G24" s="20"/>
      <c r="H24" s="27"/>
      <c r="I24" s="27"/>
      <c r="J24" s="27"/>
      <c r="K24" s="27"/>
      <c r="L24" s="20"/>
    </row>
    <row r="25" spans="1:12">
      <c r="A25" s="19">
        <v>14</v>
      </c>
      <c r="B25" s="20"/>
      <c r="C25" s="20"/>
      <c r="D25" s="20"/>
      <c r="E25" s="20"/>
      <c r="F25" s="20"/>
      <c r="G25" s="20"/>
      <c r="H25" s="27"/>
      <c r="I25" s="27"/>
      <c r="J25" s="27"/>
      <c r="K25" s="27"/>
      <c r="L25" s="20"/>
    </row>
    <row r="26" spans="1:12">
      <c r="A26" s="21" t="s">
        <v>7</v>
      </c>
      <c r="B26" s="20"/>
      <c r="C26" s="20"/>
      <c r="D26" s="20"/>
      <c r="E26" s="20"/>
      <c r="F26" s="20"/>
      <c r="G26" s="20"/>
      <c r="H26" s="27"/>
      <c r="I26" s="27"/>
      <c r="J26" s="27"/>
      <c r="K26" s="27"/>
      <c r="L26" s="20"/>
    </row>
    <row r="27" spans="1:12">
      <c r="A27" s="21" t="s">
        <v>7</v>
      </c>
      <c r="B27" s="20"/>
      <c r="C27" s="20"/>
      <c r="D27" s="20"/>
      <c r="E27" s="20"/>
      <c r="F27" s="20"/>
      <c r="G27" s="20"/>
      <c r="H27" s="27"/>
      <c r="I27" s="27"/>
      <c r="J27" s="27"/>
      <c r="K27" s="27"/>
      <c r="L27" s="20"/>
    </row>
    <row r="28" spans="1:12">
      <c r="A28" s="3" t="s">
        <v>18</v>
      </c>
      <c r="B28" s="20"/>
      <c r="C28" s="20"/>
      <c r="D28" s="20"/>
      <c r="E28" s="20"/>
      <c r="F28" s="20"/>
      <c r="G28" s="20"/>
      <c r="H28" s="27"/>
      <c r="I28" s="27"/>
      <c r="J28" s="27"/>
      <c r="K28" s="27"/>
      <c r="L28" s="20"/>
    </row>
    <row r="29" spans="1:12">
      <c r="A29" s="23" t="s">
        <v>365</v>
      </c>
      <c r="B29" s="23"/>
      <c r="C29" s="23"/>
      <c r="D29" s="23"/>
      <c r="E29" s="23"/>
      <c r="F29" s="23"/>
      <c r="G29" s="23"/>
      <c r="H29" s="23"/>
      <c r="I29" s="23"/>
      <c r="J29" s="23"/>
      <c r="K29" s="23"/>
      <c r="L29" s="23"/>
    </row>
    <row r="30" spans="1:12">
      <c r="A30" s="22" t="s">
        <v>364</v>
      </c>
      <c r="B30" s="23"/>
      <c r="C30" s="23"/>
      <c r="D30" s="23"/>
      <c r="E30" s="23"/>
      <c r="F30" s="23"/>
      <c r="G30" s="23"/>
      <c r="H30" s="23"/>
      <c r="I30" s="23"/>
      <c r="J30" s="23"/>
      <c r="K30" s="23"/>
      <c r="L30" s="23"/>
    </row>
    <row r="31" spans="1:12" ht="15.75" customHeight="1">
      <c r="A31" s="15"/>
      <c r="B31" s="15"/>
      <c r="C31" s="15"/>
      <c r="D31" s="15"/>
      <c r="E31" s="15"/>
      <c r="F31" s="15"/>
      <c r="G31" s="15"/>
      <c r="H31" s="15"/>
      <c r="I31" s="15"/>
      <c r="J31" s="15"/>
      <c r="K31" s="15"/>
      <c r="L31" s="15"/>
    </row>
    <row r="32" spans="1:12" s="994" customFormat="1" ht="15.75" customHeight="1">
      <c r="A32" s="15" t="s">
        <v>12</v>
      </c>
      <c r="B32" s="15"/>
      <c r="C32" s="15"/>
      <c r="D32" s="15"/>
      <c r="E32" s="15"/>
      <c r="F32" s="15"/>
      <c r="G32" s="15"/>
      <c r="I32" s="1202"/>
      <c r="J32" s="1202"/>
    </row>
    <row r="33" spans="1:14" s="994" customFormat="1" ht="15.6" customHeight="1">
      <c r="J33" s="1040" t="s">
        <v>1106</v>
      </c>
      <c r="K33" s="1040"/>
      <c r="L33" s="1040"/>
      <c r="M33" s="998"/>
      <c r="N33" s="998"/>
    </row>
    <row r="34" spans="1:14" s="994" customFormat="1" ht="15.6" customHeight="1">
      <c r="J34" s="1040" t="s">
        <v>481</v>
      </c>
      <c r="K34" s="1040"/>
      <c r="L34" s="1040"/>
      <c r="M34" s="998"/>
      <c r="N34" s="998"/>
    </row>
    <row r="35" spans="1:14" s="994" customFormat="1" ht="15.6" customHeight="1">
      <c r="J35" s="1040" t="s">
        <v>1107</v>
      </c>
      <c r="K35" s="1040"/>
      <c r="L35" s="1040"/>
      <c r="M35" s="998"/>
      <c r="N35" s="998"/>
    </row>
    <row r="36" spans="1:14">
      <c r="A36" s="15"/>
    </row>
    <row r="37" spans="1:14">
      <c r="A37" s="1240"/>
      <c r="B37" s="1240"/>
      <c r="C37" s="1240"/>
      <c r="D37" s="1240"/>
      <c r="E37" s="1240"/>
      <c r="F37" s="1240"/>
      <c r="G37" s="1240"/>
      <c r="H37" s="1240"/>
      <c r="I37" s="1240"/>
      <c r="J37" s="1240"/>
      <c r="K37" s="1240"/>
      <c r="L37" s="1240"/>
    </row>
  </sheetData>
  <mergeCells count="17">
    <mergeCell ref="L1:N1"/>
    <mergeCell ref="A2:L2"/>
    <mergeCell ref="A3:L3"/>
    <mergeCell ref="A5:L5"/>
    <mergeCell ref="F7:L7"/>
    <mergeCell ref="A7:C7"/>
    <mergeCell ref="A37:L37"/>
    <mergeCell ref="I8:L8"/>
    <mergeCell ref="A9:A10"/>
    <mergeCell ref="B9:B10"/>
    <mergeCell ref="C9:G9"/>
    <mergeCell ref="H9:L9"/>
    <mergeCell ref="E16:J23"/>
    <mergeCell ref="I32:J32"/>
    <mergeCell ref="J33:L33"/>
    <mergeCell ref="J34:L34"/>
    <mergeCell ref="J35:L35"/>
  </mergeCells>
  <printOptions horizontalCentered="1"/>
  <pageMargins left="0.70866141732283472" right="0.70866141732283472" top="0.63" bottom="0" header="0.79" footer="0.31496062992125984"/>
  <pageSetup paperSize="9" orientation="landscape" r:id="rId1"/>
  <rowBreaks count="1" manualBreakCount="1">
    <brk id="36" max="16383" man="1"/>
  </rowBreaks>
</worksheet>
</file>

<file path=xl/worksheets/sheet23.xml><?xml version="1.0" encoding="utf-8"?>
<worksheet xmlns="http://schemas.openxmlformats.org/spreadsheetml/2006/main" xmlns:r="http://schemas.openxmlformats.org/officeDocument/2006/relationships">
  <sheetPr>
    <pageSetUpPr fitToPage="1"/>
  </sheetPr>
  <dimension ref="A1:Q66"/>
  <sheetViews>
    <sheetView topLeftCell="A44" zoomScaleSheetLayoutView="90" workbookViewId="0">
      <selection activeCell="E13" sqref="E13"/>
    </sheetView>
  </sheetViews>
  <sheetFormatPr defaultColWidth="9.140625" defaultRowHeight="12.75"/>
  <cols>
    <col min="1" max="1" width="7.42578125" style="16" customWidth="1"/>
    <col min="2" max="2" width="22.5703125" style="16" bestFit="1" customWidth="1"/>
    <col min="3" max="3" width="8.7109375" style="16" customWidth="1"/>
    <col min="4" max="4" width="10.140625" style="16" customWidth="1"/>
    <col min="5" max="5" width="8.28515625" style="16" customWidth="1"/>
    <col min="6" max="7" width="8.5703125" style="16" bestFit="1" customWidth="1"/>
    <col min="8" max="8" width="8.140625" style="16" customWidth="1"/>
    <col min="9" max="9" width="9.28515625" style="16" customWidth="1"/>
    <col min="10" max="11" width="8.85546875" style="16" customWidth="1"/>
    <col min="12" max="12" width="11.5703125" style="16" bestFit="1" customWidth="1"/>
    <col min="13" max="13" width="8.5703125" style="16" bestFit="1" customWidth="1"/>
    <col min="14" max="14" width="9" style="16" customWidth="1"/>
    <col min="15" max="15" width="9.28515625" style="16" customWidth="1"/>
    <col min="16" max="16" width="11.85546875" style="16" customWidth="1"/>
    <col min="17" max="17" width="11.7109375" style="16" customWidth="1"/>
    <col min="18" max="16384" width="9.140625" style="16"/>
  </cols>
  <sheetData>
    <row r="1" spans="1:17" customFormat="1" ht="15">
      <c r="A1" s="877"/>
      <c r="B1" s="877"/>
      <c r="C1" s="877"/>
      <c r="D1" s="877"/>
      <c r="E1" s="877"/>
      <c r="F1" s="877"/>
      <c r="G1" s="877"/>
      <c r="H1" s="888"/>
      <c r="I1" s="888"/>
      <c r="J1" s="888"/>
      <c r="K1" s="888"/>
      <c r="L1" s="888"/>
      <c r="M1" s="888"/>
      <c r="N1" s="888"/>
      <c r="O1" s="888"/>
      <c r="P1" s="1251" t="s">
        <v>64</v>
      </c>
      <c r="Q1" s="1251"/>
    </row>
    <row r="2" spans="1:17" customFormat="1" ht="15">
      <c r="A2" s="1216" t="s">
        <v>0</v>
      </c>
      <c r="B2" s="1216"/>
      <c r="C2" s="1216"/>
      <c r="D2" s="1216"/>
      <c r="E2" s="1216"/>
      <c r="F2" s="1216"/>
      <c r="G2" s="1216"/>
      <c r="H2" s="1216"/>
      <c r="I2" s="1216"/>
      <c r="J2" s="1216"/>
      <c r="K2" s="1216"/>
      <c r="L2" s="1216"/>
      <c r="M2" s="1216"/>
      <c r="N2" s="1216"/>
      <c r="O2" s="1216"/>
      <c r="P2" s="1216"/>
      <c r="Q2" s="1216"/>
    </row>
    <row r="3" spans="1:17" customFormat="1" ht="20.25">
      <c r="A3" s="1252" t="s">
        <v>636</v>
      </c>
      <c r="B3" s="1252"/>
      <c r="C3" s="1252"/>
      <c r="D3" s="1252"/>
      <c r="E3" s="1252"/>
      <c r="F3" s="1252"/>
      <c r="G3" s="1252"/>
      <c r="H3" s="1252"/>
      <c r="I3" s="1252"/>
      <c r="J3" s="1252"/>
      <c r="K3" s="1252"/>
      <c r="L3" s="1252"/>
      <c r="M3" s="1252"/>
      <c r="N3" s="1252"/>
      <c r="O3" s="1252"/>
      <c r="P3" s="1252"/>
      <c r="Q3" s="1252"/>
    </row>
    <row r="4" spans="1:17" customFormat="1" ht="10.5" customHeight="1">
      <c r="A4" s="877"/>
      <c r="B4" s="877"/>
      <c r="C4" s="877"/>
      <c r="D4" s="877"/>
      <c r="E4" s="877"/>
      <c r="F4" s="877"/>
      <c r="G4" s="877"/>
      <c r="H4" s="877"/>
      <c r="I4" s="877"/>
      <c r="J4" s="877"/>
      <c r="K4" s="877"/>
      <c r="L4" s="877"/>
      <c r="M4" s="877"/>
      <c r="N4" s="877"/>
      <c r="O4" s="877"/>
      <c r="P4" s="877"/>
      <c r="Q4" s="877"/>
    </row>
    <row r="5" spans="1:17">
      <c r="A5" s="884"/>
      <c r="B5" s="884"/>
      <c r="C5" s="884"/>
      <c r="D5" s="884"/>
      <c r="E5" s="883"/>
      <c r="F5" s="883"/>
      <c r="G5" s="883"/>
      <c r="H5" s="883"/>
      <c r="I5" s="883"/>
      <c r="J5" s="883"/>
      <c r="K5" s="883"/>
      <c r="L5" s="883"/>
      <c r="M5" s="883"/>
      <c r="N5" s="884"/>
      <c r="O5" s="884"/>
      <c r="P5" s="883"/>
      <c r="Q5" s="882"/>
    </row>
    <row r="6" spans="1:17" ht="18" customHeight="1">
      <c r="A6" s="1218" t="s">
        <v>731</v>
      </c>
      <c r="B6" s="1218"/>
      <c r="C6" s="1218"/>
      <c r="D6" s="1218"/>
      <c r="E6" s="1218"/>
      <c r="F6" s="1218"/>
      <c r="G6" s="1218"/>
      <c r="H6" s="1218"/>
      <c r="I6" s="1218"/>
      <c r="J6" s="1218"/>
      <c r="K6" s="1218"/>
      <c r="L6" s="1218"/>
      <c r="M6" s="1218"/>
      <c r="N6" s="1218"/>
      <c r="O6" s="1218"/>
      <c r="P6" s="1218"/>
      <c r="Q6" s="1218"/>
    </row>
    <row r="7" spans="1:17" ht="9.75" customHeight="1">
      <c r="A7" s="877"/>
      <c r="B7" s="877"/>
      <c r="C7" s="877"/>
      <c r="D7" s="877"/>
      <c r="E7" s="877"/>
      <c r="F7" s="877"/>
      <c r="G7" s="877"/>
      <c r="H7" s="877"/>
      <c r="I7" s="877"/>
      <c r="J7" s="877"/>
      <c r="K7" s="877"/>
      <c r="L7" s="877"/>
      <c r="M7" s="877"/>
      <c r="N7" s="877"/>
      <c r="O7" s="877"/>
      <c r="P7" s="877"/>
      <c r="Q7" s="877"/>
    </row>
    <row r="8" spans="1:17" ht="0.75" customHeight="1">
      <c r="A8" s="877"/>
      <c r="B8" s="877"/>
      <c r="C8" s="877"/>
      <c r="D8" s="877"/>
      <c r="E8" s="877"/>
      <c r="F8" s="877"/>
      <c r="G8" s="877"/>
      <c r="H8" s="877"/>
      <c r="I8" s="877"/>
      <c r="J8" s="877"/>
      <c r="K8" s="877"/>
      <c r="L8" s="877"/>
      <c r="M8" s="877"/>
      <c r="N8" s="877"/>
      <c r="O8" s="877"/>
      <c r="P8" s="877"/>
      <c r="Q8" s="877"/>
    </row>
    <row r="9" spans="1:17">
      <c r="A9" s="1220" t="s">
        <v>1061</v>
      </c>
      <c r="B9" s="1220"/>
      <c r="C9" s="877"/>
      <c r="D9" s="877"/>
      <c r="E9" s="877"/>
      <c r="F9" s="877"/>
      <c r="G9" s="877"/>
      <c r="H9" s="877"/>
      <c r="I9" s="877"/>
      <c r="J9" s="877"/>
      <c r="K9" s="877"/>
      <c r="L9" s="877"/>
      <c r="M9" s="877"/>
      <c r="N9" s="877"/>
      <c r="O9" s="877"/>
      <c r="P9" s="877"/>
      <c r="Q9" s="886" t="s">
        <v>24</v>
      </c>
    </row>
    <row r="10" spans="1:17" ht="15.75">
      <c r="A10" s="881"/>
      <c r="B10" s="877"/>
      <c r="C10" s="877"/>
      <c r="D10" s="877"/>
      <c r="E10" s="877"/>
      <c r="F10" s="877"/>
      <c r="G10" s="877"/>
      <c r="H10" s="877"/>
      <c r="I10" s="877"/>
      <c r="J10" s="877"/>
      <c r="K10" s="877"/>
      <c r="L10" s="877"/>
      <c r="M10" s="877"/>
      <c r="N10" s="1221" t="s">
        <v>794</v>
      </c>
      <c r="O10" s="1221"/>
      <c r="P10" s="1221"/>
      <c r="Q10" s="1221"/>
    </row>
    <row r="11" spans="1:17" ht="28.5" customHeight="1">
      <c r="A11" s="1253" t="s">
        <v>2</v>
      </c>
      <c r="B11" s="1253" t="s">
        <v>3</v>
      </c>
      <c r="C11" s="1226" t="s">
        <v>657</v>
      </c>
      <c r="D11" s="1226"/>
      <c r="E11" s="1226"/>
      <c r="F11" s="1226" t="s">
        <v>658</v>
      </c>
      <c r="G11" s="1226"/>
      <c r="H11" s="1226"/>
      <c r="I11" s="1255" t="s">
        <v>369</v>
      </c>
      <c r="J11" s="1256"/>
      <c r="K11" s="1257"/>
      <c r="L11" s="1255" t="s">
        <v>91</v>
      </c>
      <c r="M11" s="1256"/>
      <c r="N11" s="1257"/>
      <c r="O11" s="1258" t="s">
        <v>1079</v>
      </c>
      <c r="P11" s="1259"/>
      <c r="Q11" s="1260"/>
    </row>
    <row r="12" spans="1:17" ht="39.75" customHeight="1">
      <c r="A12" s="1254"/>
      <c r="B12" s="1254"/>
      <c r="C12" s="879" t="s">
        <v>113</v>
      </c>
      <c r="D12" s="879" t="s">
        <v>727</v>
      </c>
      <c r="E12" s="889" t="s">
        <v>18</v>
      </c>
      <c r="F12" s="879" t="s">
        <v>113</v>
      </c>
      <c r="G12" s="879" t="s">
        <v>728</v>
      </c>
      <c r="H12" s="889" t="s">
        <v>18</v>
      </c>
      <c r="I12" s="879" t="s">
        <v>113</v>
      </c>
      <c r="J12" s="879" t="s">
        <v>728</v>
      </c>
      <c r="K12" s="889" t="s">
        <v>18</v>
      </c>
      <c r="L12" s="879" t="s">
        <v>113</v>
      </c>
      <c r="M12" s="879" t="s">
        <v>728</v>
      </c>
      <c r="N12" s="889" t="s">
        <v>18</v>
      </c>
      <c r="O12" s="879" t="s">
        <v>236</v>
      </c>
      <c r="P12" s="879" t="s">
        <v>729</v>
      </c>
      <c r="Q12" s="879" t="s">
        <v>114</v>
      </c>
    </row>
    <row r="13" spans="1:17" s="62" customFormat="1">
      <c r="A13" s="891">
        <v>1</v>
      </c>
      <c r="B13" s="891">
        <v>2</v>
      </c>
      <c r="C13" s="891">
        <v>3</v>
      </c>
      <c r="D13" s="891">
        <v>4</v>
      </c>
      <c r="E13" s="891">
        <v>5</v>
      </c>
      <c r="F13" s="891">
        <v>6</v>
      </c>
      <c r="G13" s="891">
        <v>7</v>
      </c>
      <c r="H13" s="891">
        <v>8</v>
      </c>
      <c r="I13" s="891">
        <v>9</v>
      </c>
      <c r="J13" s="891">
        <v>10</v>
      </c>
      <c r="K13" s="891">
        <v>11</v>
      </c>
      <c r="L13" s="891">
        <v>12</v>
      </c>
      <c r="M13" s="891">
        <v>13</v>
      </c>
      <c r="N13" s="891">
        <v>14</v>
      </c>
      <c r="O13" s="891">
        <v>15</v>
      </c>
      <c r="P13" s="891">
        <v>16</v>
      </c>
      <c r="Q13" s="891">
        <v>17</v>
      </c>
    </row>
    <row r="14" spans="1:17" s="62" customFormat="1" ht="15.75">
      <c r="A14" s="891">
        <v>1</v>
      </c>
      <c r="B14" s="894" t="s">
        <v>825</v>
      </c>
      <c r="C14" s="895">
        <v>960.96999331319864</v>
      </c>
      <c r="D14" s="895">
        <v>642.5694112097425</v>
      </c>
      <c r="E14" s="895">
        <v>1603.5394045229411</v>
      </c>
      <c r="F14" s="895">
        <v>1.6308764985848436</v>
      </c>
      <c r="G14" s="895">
        <v>3.01</v>
      </c>
      <c r="H14" s="895">
        <v>4.6408764985848432</v>
      </c>
      <c r="I14" s="895">
        <v>959.33911681461382</v>
      </c>
      <c r="J14" s="895">
        <v>639.55941120974251</v>
      </c>
      <c r="K14" s="895">
        <v>1598.8985280243564</v>
      </c>
      <c r="L14" s="895">
        <v>929.32201570726897</v>
      </c>
      <c r="M14" s="895">
        <v>565.83319796363298</v>
      </c>
      <c r="N14" s="895">
        <v>1495.155213670902</v>
      </c>
      <c r="O14" s="895">
        <v>31.647977605929668</v>
      </c>
      <c r="P14" s="895">
        <v>76.736213246109514</v>
      </c>
      <c r="Q14" s="895">
        <v>108.38419085203918</v>
      </c>
    </row>
    <row r="15" spans="1:17" s="62" customFormat="1" ht="15.75">
      <c r="A15" s="891">
        <v>2</v>
      </c>
      <c r="B15" s="894" t="s">
        <v>826</v>
      </c>
      <c r="C15" s="895">
        <v>502.80273104667549</v>
      </c>
      <c r="D15" s="895">
        <v>336.77475256407718</v>
      </c>
      <c r="E15" s="895">
        <v>839.57748361075267</v>
      </c>
      <c r="F15" s="895">
        <v>0.80319925087328359</v>
      </c>
      <c r="G15" s="895">
        <v>2.1083980335423695</v>
      </c>
      <c r="H15" s="895">
        <v>2.9115972844156532</v>
      </c>
      <c r="I15" s="895">
        <v>501.99953179580223</v>
      </c>
      <c r="J15" s="895">
        <v>334.66635453053482</v>
      </c>
      <c r="K15" s="895">
        <v>836.66588632633704</v>
      </c>
      <c r="L15" s="895">
        <v>486.29229080286956</v>
      </c>
      <c r="M15" s="895">
        <v>296.08716612684054</v>
      </c>
      <c r="N15" s="895">
        <v>782.37945692971016</v>
      </c>
      <c r="O15" s="895">
        <v>16.510440243805931</v>
      </c>
      <c r="P15" s="895">
        <v>40.687586437236632</v>
      </c>
      <c r="Q15" s="895">
        <v>57.198026681042563</v>
      </c>
    </row>
    <row r="16" spans="1:17" s="62" customFormat="1" ht="15.75">
      <c r="A16" s="891">
        <v>3</v>
      </c>
      <c r="B16" s="894" t="s">
        <v>827</v>
      </c>
      <c r="C16" s="895">
        <v>669.85463353883404</v>
      </c>
      <c r="D16" s="895">
        <v>448.66528070429229</v>
      </c>
      <c r="E16" s="895">
        <v>1118.5199142431263</v>
      </c>
      <c r="F16" s="895">
        <v>1.0700553251419074</v>
      </c>
      <c r="G16" s="895">
        <v>2.8088952284975068</v>
      </c>
      <c r="H16" s="895">
        <v>3.878950553639414</v>
      </c>
      <c r="I16" s="895">
        <v>668.78457821369216</v>
      </c>
      <c r="J16" s="895">
        <v>445.85638547579475</v>
      </c>
      <c r="K16" s="895">
        <v>1114.6409636894869</v>
      </c>
      <c r="L16" s="895">
        <v>647.85874088316586</v>
      </c>
      <c r="M16" s="895">
        <v>394.45959203239693</v>
      </c>
      <c r="N16" s="895">
        <v>1042.3183329155627</v>
      </c>
      <c r="O16" s="895">
        <v>21.995892655668172</v>
      </c>
      <c r="P16" s="895">
        <v>54.205688671895359</v>
      </c>
      <c r="Q16" s="895">
        <v>76.201581327563531</v>
      </c>
    </row>
    <row r="17" spans="1:17" s="62" customFormat="1" ht="15.75">
      <c r="A17" s="891">
        <v>4</v>
      </c>
      <c r="B17" s="896" t="s">
        <v>828</v>
      </c>
      <c r="C17" s="895">
        <v>538.8689947226934</v>
      </c>
      <c r="D17" s="895">
        <v>360.75166775734044</v>
      </c>
      <c r="E17" s="895">
        <v>899.62066248003384</v>
      </c>
      <c r="F17" s="895">
        <v>1.1292534566586729</v>
      </c>
      <c r="G17" s="895">
        <v>2.2585069133173459</v>
      </c>
      <c r="H17" s="895">
        <v>3.3877603699760188</v>
      </c>
      <c r="I17" s="895">
        <v>537.73974126603468</v>
      </c>
      <c r="J17" s="895">
        <v>358.49316084402312</v>
      </c>
      <c r="K17" s="895">
        <v>896.23290211005781</v>
      </c>
      <c r="L17" s="895">
        <v>520.91421221159999</v>
      </c>
      <c r="M17" s="895">
        <v>317.1673000085695</v>
      </c>
      <c r="N17" s="895">
        <v>838.08151222016954</v>
      </c>
      <c r="O17" s="895">
        <v>17.954782511093413</v>
      </c>
      <c r="P17" s="895">
        <v>43.584367748770944</v>
      </c>
      <c r="Q17" s="895">
        <v>61.539150259864357</v>
      </c>
    </row>
    <row r="18" spans="1:17" s="62" customFormat="1" ht="15.75">
      <c r="A18" s="891">
        <v>5</v>
      </c>
      <c r="B18" s="894" t="s">
        <v>829</v>
      </c>
      <c r="C18" s="895">
        <v>1397.9014979584238</v>
      </c>
      <c r="D18" s="895">
        <v>936.30742638149752</v>
      </c>
      <c r="E18" s="895">
        <v>2334.2089243399214</v>
      </c>
      <c r="F18" s="895">
        <v>2.2330694855565874</v>
      </c>
      <c r="G18" s="895">
        <v>5.8618073995860422</v>
      </c>
      <c r="H18" s="895">
        <v>8.0948768851426287</v>
      </c>
      <c r="I18" s="895">
        <v>1395.6684284728672</v>
      </c>
      <c r="J18" s="895">
        <v>930.44561898191148</v>
      </c>
      <c r="K18" s="895">
        <v>2326.1140474547788</v>
      </c>
      <c r="L18" s="895">
        <v>1351.9988651291942</v>
      </c>
      <c r="M18" s="895">
        <v>823.18704234832865</v>
      </c>
      <c r="N18" s="895">
        <v>2175.185907477523</v>
      </c>
      <c r="O18" s="895">
        <v>45.90263282922956</v>
      </c>
      <c r="P18" s="895">
        <v>113.12038403316888</v>
      </c>
      <c r="Q18" s="895">
        <v>159.02301686239844</v>
      </c>
    </row>
    <row r="19" spans="1:17" s="62" customFormat="1" ht="15.75">
      <c r="A19" s="891">
        <v>6</v>
      </c>
      <c r="B19" s="894" t="s">
        <v>830</v>
      </c>
      <c r="C19" s="895">
        <v>391.8706198244285</v>
      </c>
      <c r="D19" s="895">
        <v>262.47297971866504</v>
      </c>
      <c r="E19" s="895">
        <v>654.34359954309355</v>
      </c>
      <c r="F19" s="895">
        <v>0.62599140547033305</v>
      </c>
      <c r="G19" s="895">
        <v>1.6432274393596242</v>
      </c>
      <c r="H19" s="895">
        <v>2.2692188448299575</v>
      </c>
      <c r="I19" s="895">
        <v>391.24462841895814</v>
      </c>
      <c r="J19" s="895">
        <v>260.82975227930541</v>
      </c>
      <c r="K19" s="895">
        <v>652.07438069826355</v>
      </c>
      <c r="L19" s="895">
        <v>379.00283679062107</v>
      </c>
      <c r="M19" s="895">
        <v>230.76219389391616</v>
      </c>
      <c r="N19" s="895">
        <v>609.76503068453724</v>
      </c>
      <c r="O19" s="895">
        <v>12.867783033807427</v>
      </c>
      <c r="P19" s="895">
        <v>31.710785824748882</v>
      </c>
      <c r="Q19" s="895">
        <v>44.578568858556309</v>
      </c>
    </row>
    <row r="20" spans="1:17" s="62" customFormat="1" ht="15.75">
      <c r="A20" s="891">
        <v>7</v>
      </c>
      <c r="B20" s="897" t="s">
        <v>831</v>
      </c>
      <c r="C20" s="895">
        <v>311.17817358300556</v>
      </c>
      <c r="D20" s="895">
        <v>208.4255831180634</v>
      </c>
      <c r="E20" s="895">
        <v>519.60375670106896</v>
      </c>
      <c r="F20" s="895">
        <v>0.49708973415815583</v>
      </c>
      <c r="G20" s="895">
        <v>1.3048605521651588</v>
      </c>
      <c r="H20" s="895">
        <v>1.8019502863233146</v>
      </c>
      <c r="I20" s="895">
        <v>310.68108384884738</v>
      </c>
      <c r="J20" s="895">
        <v>207.12072256589823</v>
      </c>
      <c r="K20" s="895">
        <v>517.80180641474567</v>
      </c>
      <c r="L20" s="895">
        <v>300.96007347558594</v>
      </c>
      <c r="M20" s="895">
        <v>183.24455673683508</v>
      </c>
      <c r="N20" s="895">
        <v>484.20463021242102</v>
      </c>
      <c r="O20" s="895">
        <v>10.218100107419616</v>
      </c>
      <c r="P20" s="895">
        <v>25.181026381228321</v>
      </c>
      <c r="Q20" s="895">
        <v>35.399126488647937</v>
      </c>
    </row>
    <row r="21" spans="1:17" s="62" customFormat="1" ht="15.75">
      <c r="A21" s="891">
        <v>8</v>
      </c>
      <c r="B21" s="894" t="s">
        <v>832</v>
      </c>
      <c r="C21" s="895">
        <v>722.34863121463275</v>
      </c>
      <c r="D21" s="895">
        <v>483.82549759803311</v>
      </c>
      <c r="E21" s="895">
        <v>1206.1741288126659</v>
      </c>
      <c r="F21" s="895">
        <v>1.1539115514610747</v>
      </c>
      <c r="G21" s="895">
        <v>3.0290178225853208</v>
      </c>
      <c r="H21" s="895">
        <v>4.1829293740463953</v>
      </c>
      <c r="I21" s="895">
        <v>721.19471966317167</v>
      </c>
      <c r="J21" s="895">
        <v>480.79647977544778</v>
      </c>
      <c r="K21" s="895">
        <v>1201.9911994386193</v>
      </c>
      <c r="L21" s="895">
        <v>698.62900287045591</v>
      </c>
      <c r="M21" s="895">
        <v>425.37191221439161</v>
      </c>
      <c r="N21" s="895">
        <v>1124.0009150848475</v>
      </c>
      <c r="O21" s="895">
        <v>23.71962834417684</v>
      </c>
      <c r="P21" s="895">
        <v>58.453585383641496</v>
      </c>
      <c r="Q21" s="895">
        <v>82.173213727818336</v>
      </c>
    </row>
    <row r="22" spans="1:17" s="62" customFormat="1" ht="15.75">
      <c r="A22" s="891">
        <v>9</v>
      </c>
      <c r="B22" s="894" t="s">
        <v>1080</v>
      </c>
      <c r="C22" s="895">
        <v>741.45332404905923</v>
      </c>
      <c r="D22" s="895">
        <v>496.62172523333885</v>
      </c>
      <c r="E22" s="895">
        <v>1238.0750492823981</v>
      </c>
      <c r="F22" s="895">
        <v>1.1844302301103182</v>
      </c>
      <c r="G22" s="895">
        <v>3.1091293540395855</v>
      </c>
      <c r="H22" s="895">
        <v>4.2935595841499037</v>
      </c>
      <c r="I22" s="895">
        <v>740.26889381894887</v>
      </c>
      <c r="J22" s="895">
        <v>493.51259587929928</v>
      </c>
      <c r="K22" s="895">
        <v>1233.7814896982482</v>
      </c>
      <c r="L22" s="895">
        <v>717.10635844129501</v>
      </c>
      <c r="M22" s="895">
        <v>436.62215810962311</v>
      </c>
      <c r="N22" s="895">
        <v>1153.7285165509181</v>
      </c>
      <c r="O22" s="895">
        <v>24.346965607764218</v>
      </c>
      <c r="P22" s="895">
        <v>59.999567123715735</v>
      </c>
      <c r="Q22" s="895">
        <v>84.346532731479954</v>
      </c>
    </row>
    <row r="23" spans="1:17" s="62" customFormat="1" ht="15.75">
      <c r="A23" s="891">
        <v>10</v>
      </c>
      <c r="B23" s="898" t="s">
        <v>834</v>
      </c>
      <c r="C23" s="895">
        <v>300.32811309685542</v>
      </c>
      <c r="D23" s="895">
        <v>201.15826691251706</v>
      </c>
      <c r="E23" s="895">
        <v>501.48638000937251</v>
      </c>
      <c r="F23" s="895">
        <v>0.47975736916430578</v>
      </c>
      <c r="G23" s="895">
        <v>1.2593630940563028</v>
      </c>
      <c r="H23" s="895">
        <v>1.7391204632206085</v>
      </c>
      <c r="I23" s="895">
        <v>299.84835572769111</v>
      </c>
      <c r="J23" s="895">
        <v>199.89890381846075</v>
      </c>
      <c r="K23" s="895">
        <v>499.74725954615189</v>
      </c>
      <c r="L23" s="895">
        <v>290.46629441799001</v>
      </c>
      <c r="M23" s="895">
        <v>176.85524446130017</v>
      </c>
      <c r="N23" s="895">
        <v>467.32153887929019</v>
      </c>
      <c r="O23" s="895">
        <v>9.8618186788654043</v>
      </c>
      <c r="P23" s="895">
        <v>24.30302245121689</v>
      </c>
      <c r="Q23" s="895">
        <v>34.164841130082294</v>
      </c>
    </row>
    <row r="24" spans="1:17" s="62" customFormat="1" ht="15.75">
      <c r="A24" s="891">
        <v>11</v>
      </c>
      <c r="B24" s="899" t="s">
        <v>835</v>
      </c>
      <c r="C24" s="895">
        <v>306.80692619290187</v>
      </c>
      <c r="D24" s="895">
        <v>205.497743495685</v>
      </c>
      <c r="E24" s="895">
        <v>512.30466968858684</v>
      </c>
      <c r="F24" s="895">
        <v>0.49010691085128094</v>
      </c>
      <c r="G24" s="895">
        <v>1.2865306409846125</v>
      </c>
      <c r="H24" s="895">
        <v>1.7766375518358934</v>
      </c>
      <c r="I24" s="895">
        <v>306.31681928205057</v>
      </c>
      <c r="J24" s="895">
        <v>204.21121285470039</v>
      </c>
      <c r="K24" s="895">
        <v>510.52803213675099</v>
      </c>
      <c r="L24" s="895">
        <v>296.73236392720196</v>
      </c>
      <c r="M24" s="895">
        <v>180.67044531647568</v>
      </c>
      <c r="N24" s="895">
        <v>477.40280924367767</v>
      </c>
      <c r="O24" s="895">
        <v>10.07456226569991</v>
      </c>
      <c r="P24" s="895">
        <v>24.827298179209322</v>
      </c>
      <c r="Q24" s="895">
        <v>34.901860444909232</v>
      </c>
    </row>
    <row r="25" spans="1:17" s="62" customFormat="1" ht="15.75">
      <c r="A25" s="891">
        <v>12</v>
      </c>
      <c r="B25" s="894" t="s">
        <v>836</v>
      </c>
      <c r="C25" s="895">
        <v>553.97754870653227</v>
      </c>
      <c r="D25" s="895">
        <v>371.05138928606465</v>
      </c>
      <c r="E25" s="895">
        <v>925.02893799259687</v>
      </c>
      <c r="F25" s="895">
        <v>0.88494816087305483</v>
      </c>
      <c r="G25" s="895">
        <v>2.3229889222917692</v>
      </c>
      <c r="H25" s="895">
        <v>3.2079370831648242</v>
      </c>
      <c r="I25" s="895">
        <v>553.09260054565925</v>
      </c>
      <c r="J25" s="895">
        <v>368.72840036377289</v>
      </c>
      <c r="K25" s="895">
        <v>921.82100090943209</v>
      </c>
      <c r="L25" s="895">
        <v>535.78669044430808</v>
      </c>
      <c r="M25" s="895">
        <v>326.22265625519105</v>
      </c>
      <c r="N25" s="895">
        <v>862.00934669949913</v>
      </c>
      <c r="O25" s="895">
        <v>18.190858262224197</v>
      </c>
      <c r="P25" s="895">
        <v>44.828733030873593</v>
      </c>
      <c r="Q25" s="895">
        <v>63.01959129309779</v>
      </c>
    </row>
    <row r="26" spans="1:17" s="62" customFormat="1" ht="15.75">
      <c r="A26" s="891">
        <v>13</v>
      </c>
      <c r="B26" s="898" t="s">
        <v>837</v>
      </c>
      <c r="C26" s="895">
        <v>969.75342769559018</v>
      </c>
      <c r="D26" s="895">
        <v>649.53599193961156</v>
      </c>
      <c r="E26" s="895">
        <v>1619.2894196352017</v>
      </c>
      <c r="F26" s="895">
        <v>1.5491268813028598</v>
      </c>
      <c r="G26" s="895">
        <v>4.0664580634200069</v>
      </c>
      <c r="H26" s="895">
        <v>5.6155849447228672</v>
      </c>
      <c r="I26" s="895">
        <v>968.20430081428731</v>
      </c>
      <c r="J26" s="895">
        <v>645.46953387619158</v>
      </c>
      <c r="K26" s="895">
        <v>1613.673834690479</v>
      </c>
      <c r="L26" s="895">
        <v>937.90981382765403</v>
      </c>
      <c r="M26" s="895">
        <v>571.06202197919765</v>
      </c>
      <c r="N26" s="895">
        <v>1508.9718358068517</v>
      </c>
      <c r="O26" s="895">
        <v>31.843613867936142</v>
      </c>
      <c r="P26" s="895">
        <v>78.47396996041391</v>
      </c>
      <c r="Q26" s="895">
        <v>110.31758382835005</v>
      </c>
    </row>
    <row r="27" spans="1:17" s="62" customFormat="1" ht="15.75">
      <c r="A27" s="891">
        <v>14</v>
      </c>
      <c r="B27" s="898" t="s">
        <v>838</v>
      </c>
      <c r="C27" s="895">
        <v>403.94228784013438</v>
      </c>
      <c r="D27" s="895">
        <v>270.55852253296536</v>
      </c>
      <c r="E27" s="895">
        <v>674.50081037309974</v>
      </c>
      <c r="F27" s="895">
        <v>0.64527522019190797</v>
      </c>
      <c r="G27" s="895">
        <v>1.6938474530037582</v>
      </c>
      <c r="H27" s="895">
        <v>2.339122673195666</v>
      </c>
      <c r="I27" s="895">
        <v>403.29701261994245</v>
      </c>
      <c r="J27" s="895">
        <v>268.86467507996161</v>
      </c>
      <c r="K27" s="895">
        <v>672.16168769990406</v>
      </c>
      <c r="L27" s="895">
        <v>390.67810967736364</v>
      </c>
      <c r="M27" s="895">
        <v>237.87087837889081</v>
      </c>
      <c r="N27" s="895">
        <v>628.54898805625442</v>
      </c>
      <c r="O27" s="895">
        <v>13.264178162770747</v>
      </c>
      <c r="P27" s="895">
        <v>32.687644154074547</v>
      </c>
      <c r="Q27" s="895">
        <v>45.951822316845295</v>
      </c>
    </row>
    <row r="28" spans="1:17" s="62" customFormat="1" ht="15.75">
      <c r="A28" s="891">
        <v>15</v>
      </c>
      <c r="B28" s="898" t="s">
        <v>839</v>
      </c>
      <c r="C28" s="895">
        <v>325.89859247692937</v>
      </c>
      <c r="D28" s="895">
        <v>218.30704184359064</v>
      </c>
      <c r="E28" s="895">
        <v>544.20563432051995</v>
      </c>
      <c r="F28" s="895">
        <v>0.48811571514268004</v>
      </c>
      <c r="G28" s="895">
        <v>1.366724002399504</v>
      </c>
      <c r="H28" s="895">
        <v>1.854839717542184</v>
      </c>
      <c r="I28" s="895">
        <v>325.4104767617867</v>
      </c>
      <c r="J28" s="895">
        <v>216.94031784119113</v>
      </c>
      <c r="K28" s="895">
        <v>542.35079460297789</v>
      </c>
      <c r="L28" s="895">
        <v>315.22859320138207</v>
      </c>
      <c r="M28" s="895">
        <v>191.93218278054815</v>
      </c>
      <c r="N28" s="895">
        <v>507.16077598193021</v>
      </c>
      <c r="O28" s="895">
        <v>10.669999275547298</v>
      </c>
      <c r="P28" s="895">
        <v>26.374859063042493</v>
      </c>
      <c r="Q28" s="895">
        <v>37.04485833858979</v>
      </c>
    </row>
    <row r="29" spans="1:17" s="62" customFormat="1" ht="15.75">
      <c r="A29" s="891">
        <v>16</v>
      </c>
      <c r="B29" s="894" t="s">
        <v>840</v>
      </c>
      <c r="C29" s="895">
        <v>236.73036647030227</v>
      </c>
      <c r="D29" s="895">
        <v>158.56081454943106</v>
      </c>
      <c r="E29" s="895">
        <v>395.29118101973336</v>
      </c>
      <c r="F29" s="895">
        <v>0.37816352471294296</v>
      </c>
      <c r="G29" s="895">
        <v>0.99267925237147525</v>
      </c>
      <c r="H29" s="895">
        <v>1.3708427770844183</v>
      </c>
      <c r="I29" s="895">
        <v>236.35220294558934</v>
      </c>
      <c r="J29" s="895">
        <v>157.56813529705957</v>
      </c>
      <c r="K29" s="895">
        <v>393.92033824264888</v>
      </c>
      <c r="L29" s="895">
        <v>228.95689522967098</v>
      </c>
      <c r="M29" s="895">
        <v>139.40422160883898</v>
      </c>
      <c r="N29" s="895">
        <v>368.36111683850993</v>
      </c>
      <c r="O29" s="895">
        <v>7.7734712406312951</v>
      </c>
      <c r="P29" s="895">
        <v>19.156592940592077</v>
      </c>
      <c r="Q29" s="895">
        <v>26.930064181223372</v>
      </c>
    </row>
    <row r="30" spans="1:17" s="62" customFormat="1" ht="15.75">
      <c r="A30" s="891">
        <v>17</v>
      </c>
      <c r="B30" s="898" t="s">
        <v>841</v>
      </c>
      <c r="C30" s="895">
        <v>553.41162828549193</v>
      </c>
      <c r="D30" s="895">
        <v>370.67233862066729</v>
      </c>
      <c r="E30" s="895">
        <v>924.08396690615928</v>
      </c>
      <c r="F30" s="895">
        <v>0.88404413464136089</v>
      </c>
      <c r="G30" s="895">
        <v>2.3206158534335724</v>
      </c>
      <c r="H30" s="895">
        <v>3.2046599880749334</v>
      </c>
      <c r="I30" s="895">
        <v>552.52758415085054</v>
      </c>
      <c r="J30" s="895">
        <v>368.3517227672337</v>
      </c>
      <c r="K30" s="895">
        <v>920.87930691808424</v>
      </c>
      <c r="L30" s="895">
        <v>535.23935304741894</v>
      </c>
      <c r="M30" s="895">
        <v>325.88940075880515</v>
      </c>
      <c r="N30" s="895">
        <v>861.12875380622404</v>
      </c>
      <c r="O30" s="895">
        <v>18.172275238072984</v>
      </c>
      <c r="P30" s="895">
        <v>44.782937861862138</v>
      </c>
      <c r="Q30" s="895">
        <v>62.955213099935122</v>
      </c>
    </row>
    <row r="31" spans="1:17" s="62" customFormat="1" ht="15.75">
      <c r="A31" s="891">
        <v>18</v>
      </c>
      <c r="B31" s="900" t="s">
        <v>842</v>
      </c>
      <c r="C31" s="895">
        <v>434.5293108724938</v>
      </c>
      <c r="D31" s="895">
        <v>291.04555746205443</v>
      </c>
      <c r="E31" s="895">
        <v>725.57486833454823</v>
      </c>
      <c r="F31" s="895">
        <v>0.69413627934903166</v>
      </c>
      <c r="G31" s="895">
        <v>1.8221077332912083</v>
      </c>
      <c r="H31" s="895">
        <v>2.5162440126402399</v>
      </c>
      <c r="I31" s="895">
        <v>433.83517459314476</v>
      </c>
      <c r="J31" s="895">
        <v>289.22344972876323</v>
      </c>
      <c r="K31" s="895">
        <v>723.05862432190793</v>
      </c>
      <c r="L31" s="895">
        <v>420.26075229404699</v>
      </c>
      <c r="M31" s="895">
        <v>255.88276338010203</v>
      </c>
      <c r="N31" s="895">
        <v>676.14351567414906</v>
      </c>
      <c r="O31" s="895">
        <v>14.2685585784468</v>
      </c>
      <c r="P31" s="895">
        <v>35.162794081952399</v>
      </c>
      <c r="Q31" s="895">
        <v>49.431352660399199</v>
      </c>
    </row>
    <row r="32" spans="1:17" s="62" customFormat="1" ht="14.25" customHeight="1">
      <c r="A32" s="891">
        <v>19</v>
      </c>
      <c r="B32" s="898" t="s">
        <v>843</v>
      </c>
      <c r="C32" s="895">
        <v>701.93646706263064</v>
      </c>
      <c r="D32" s="895">
        <v>470.15353221853388</v>
      </c>
      <c r="E32" s="895">
        <v>1172.0899992811646</v>
      </c>
      <c r="F32" s="895">
        <v>1.1213042604834356</v>
      </c>
      <c r="G32" s="895">
        <v>2.9434236837690184</v>
      </c>
      <c r="H32" s="895">
        <v>4.0647279442524535</v>
      </c>
      <c r="I32" s="895">
        <v>700.81516280214726</v>
      </c>
      <c r="J32" s="895">
        <v>467.21010853476486</v>
      </c>
      <c r="K32" s="895">
        <v>1168.0252713369121</v>
      </c>
      <c r="L32" s="895">
        <v>678.88710917576987</v>
      </c>
      <c r="M32" s="895">
        <v>413.35173120682043</v>
      </c>
      <c r="N32" s="895">
        <v>1092.2388403825903</v>
      </c>
      <c r="O32" s="895">
        <v>23.049357886860776</v>
      </c>
      <c r="P32" s="895">
        <v>56.801801011713451</v>
      </c>
      <c r="Q32" s="895">
        <v>79.851158898574226</v>
      </c>
    </row>
    <row r="33" spans="1:17" ht="15.75" customHeight="1">
      <c r="A33" s="891">
        <v>20</v>
      </c>
      <c r="B33" s="900" t="s">
        <v>844</v>
      </c>
      <c r="C33" s="895">
        <v>564.88615268451429</v>
      </c>
      <c r="D33" s="895">
        <v>378.35791762941074</v>
      </c>
      <c r="E33" s="895">
        <v>943.24407031392502</v>
      </c>
      <c r="F33" s="895">
        <v>0.90237404582190772</v>
      </c>
      <c r="G33" s="895">
        <v>2.3687318702825082</v>
      </c>
      <c r="H33" s="895">
        <v>3.2711059161044158</v>
      </c>
      <c r="I33" s="893">
        <v>563.98377863869234</v>
      </c>
      <c r="J33" s="895">
        <v>375.98918575912825</v>
      </c>
      <c r="K33" s="895">
        <v>939.97296439782053</v>
      </c>
      <c r="L33" s="893">
        <v>546.33709061192701</v>
      </c>
      <c r="M33" s="895">
        <v>332.64644323724866</v>
      </c>
      <c r="N33" s="895">
        <v>878.98353384917573</v>
      </c>
      <c r="O33" s="895">
        <v>18.549062072587276</v>
      </c>
      <c r="P33" s="895">
        <v>45.711474392162074</v>
      </c>
      <c r="Q33" s="895">
        <v>64.26053646474935</v>
      </c>
    </row>
    <row r="34" spans="1:17" ht="15.75" customHeight="1">
      <c r="A34" s="891">
        <v>21</v>
      </c>
      <c r="B34" s="894" t="s">
        <v>845</v>
      </c>
      <c r="C34" s="895">
        <v>542.87379975577767</v>
      </c>
      <c r="D34" s="895">
        <v>363.61415381671929</v>
      </c>
      <c r="E34" s="895">
        <v>906.48795357249696</v>
      </c>
      <c r="F34" s="895">
        <v>0.86721054274085885</v>
      </c>
      <c r="G34" s="895">
        <v>2.2764276746947547</v>
      </c>
      <c r="H34" s="895">
        <v>3.1436382174356137</v>
      </c>
      <c r="I34" s="893">
        <v>542.00658921303682</v>
      </c>
      <c r="J34" s="895">
        <v>361.33772614202456</v>
      </c>
      <c r="K34" s="895">
        <v>903.34431535506133</v>
      </c>
      <c r="L34" s="893">
        <v>525.04755324327891</v>
      </c>
      <c r="M34" s="895">
        <v>319.68395358472441</v>
      </c>
      <c r="N34" s="895">
        <v>844.73150682800338</v>
      </c>
      <c r="O34" s="895">
        <v>17.826246512498756</v>
      </c>
      <c r="P34" s="895">
        <v>43.930200231994888</v>
      </c>
      <c r="Q34" s="895">
        <v>61.756446744493644</v>
      </c>
    </row>
    <row r="35" spans="1:17" ht="12.75" customHeight="1">
      <c r="A35" s="891">
        <v>22</v>
      </c>
      <c r="B35" s="898" t="s">
        <v>846</v>
      </c>
      <c r="C35" s="895">
        <v>733.88169910548675</v>
      </c>
      <c r="D35" s="895">
        <v>491.55028874457622</v>
      </c>
      <c r="E35" s="895">
        <v>1225.431987850063</v>
      </c>
      <c r="F35" s="895">
        <v>1.1723349825966241</v>
      </c>
      <c r="G35" s="895">
        <v>3.0773793293161384</v>
      </c>
      <c r="H35" s="895">
        <v>4.2497143119127623</v>
      </c>
      <c r="I35" s="893">
        <v>732.70936412289007</v>
      </c>
      <c r="J35" s="895">
        <v>488.47290941526006</v>
      </c>
      <c r="K35" s="895">
        <v>1221.1822735381502</v>
      </c>
      <c r="L35" s="893">
        <v>709.78336154498697</v>
      </c>
      <c r="M35" s="895">
        <v>432.16342939935777</v>
      </c>
      <c r="N35" s="895">
        <v>1141.9467909443447</v>
      </c>
      <c r="O35" s="895">
        <v>24.098337560499772</v>
      </c>
      <c r="P35" s="895">
        <v>59.386859345218454</v>
      </c>
      <c r="Q35" s="895">
        <v>83.485196905718226</v>
      </c>
    </row>
    <row r="36" spans="1:17" ht="12.75" customHeight="1">
      <c r="A36" s="891">
        <v>23</v>
      </c>
      <c r="B36" s="894" t="s">
        <v>847</v>
      </c>
      <c r="C36" s="895">
        <v>548.1036850260806</v>
      </c>
      <c r="D36" s="895">
        <v>367.11710479349364</v>
      </c>
      <c r="E36" s="895">
        <v>915.22078981957429</v>
      </c>
      <c r="F36" s="895">
        <v>0.87556499205444183</v>
      </c>
      <c r="G36" s="895">
        <v>2.2983581041429098</v>
      </c>
      <c r="H36" s="895">
        <v>3.1739230961973517</v>
      </c>
      <c r="I36" s="893">
        <v>547.22812003402612</v>
      </c>
      <c r="J36" s="895">
        <v>364.81874668935075</v>
      </c>
      <c r="K36" s="895">
        <v>912.04686672337687</v>
      </c>
      <c r="L36" s="893">
        <v>530.1057057386671</v>
      </c>
      <c r="M36" s="895">
        <v>322.76369403408307</v>
      </c>
      <c r="N36" s="895">
        <v>852.86939977275017</v>
      </c>
      <c r="O36" s="895">
        <v>17.9979792874135</v>
      </c>
      <c r="P36" s="895">
        <v>44.353410759410565</v>
      </c>
      <c r="Q36" s="895">
        <v>62.351390046824065</v>
      </c>
    </row>
    <row r="37" spans="1:17" ht="15.75">
      <c r="A37" s="891">
        <v>24</v>
      </c>
      <c r="B37" s="894" t="s">
        <v>848</v>
      </c>
      <c r="C37" s="895">
        <v>508.43071206143395</v>
      </c>
      <c r="D37" s="895">
        <v>340.54434607788937</v>
      </c>
      <c r="E37" s="895">
        <v>848.97505813932332</v>
      </c>
      <c r="F37" s="895">
        <v>0.812189635880885</v>
      </c>
      <c r="G37" s="895">
        <v>2.1319977941873227</v>
      </c>
      <c r="H37" s="895">
        <v>2.9441874300682076</v>
      </c>
      <c r="I37" s="893">
        <v>507.61852242555307</v>
      </c>
      <c r="J37" s="895">
        <v>338.41234828370204</v>
      </c>
      <c r="K37" s="895">
        <v>846.03087070925517</v>
      </c>
      <c r="L37" s="893">
        <v>491.73546684641389</v>
      </c>
      <c r="M37" s="895">
        <v>299.40133458055317</v>
      </c>
      <c r="N37" s="895">
        <v>791.13680142696705</v>
      </c>
      <c r="O37" s="895">
        <v>16.695245215020066</v>
      </c>
      <c r="P37" s="895">
        <v>41.143011497336204</v>
      </c>
      <c r="Q37" s="895">
        <v>57.838256712356269</v>
      </c>
    </row>
    <row r="38" spans="1:17" ht="15.75">
      <c r="A38" s="891">
        <v>25</v>
      </c>
      <c r="B38" s="897" t="s">
        <v>849</v>
      </c>
      <c r="C38" s="895">
        <v>372.41466603901171</v>
      </c>
      <c r="D38" s="895">
        <v>249.44147925656114</v>
      </c>
      <c r="E38" s="895">
        <v>621.85614529557279</v>
      </c>
      <c r="F38" s="895">
        <v>0.59491160709107294</v>
      </c>
      <c r="G38" s="895">
        <v>1.5616429686140665</v>
      </c>
      <c r="H38" s="895">
        <v>2.1565545757051394</v>
      </c>
      <c r="I38" s="893">
        <v>371.81975443192061</v>
      </c>
      <c r="J38" s="895">
        <v>247.87983628794706</v>
      </c>
      <c r="K38" s="895">
        <v>619.69959071986773</v>
      </c>
      <c r="L38" s="893">
        <v>360.18575455964407</v>
      </c>
      <c r="M38" s="895">
        <v>219.30509975954863</v>
      </c>
      <c r="N38" s="895">
        <v>579.49085431919275</v>
      </c>
      <c r="O38" s="895">
        <v>12.228911479367639</v>
      </c>
      <c r="P38" s="895">
        <v>30.136379497012513</v>
      </c>
      <c r="Q38" s="895">
        <v>42.365290976380152</v>
      </c>
    </row>
    <row r="39" spans="1:17" ht="15.75">
      <c r="A39" s="891">
        <v>26</v>
      </c>
      <c r="B39" s="897" t="s">
        <v>850</v>
      </c>
      <c r="C39" s="895">
        <v>293.43949555798662</v>
      </c>
      <c r="D39" s="895">
        <v>197.54382824679621</v>
      </c>
      <c r="E39" s="895">
        <v>490.9833238047828</v>
      </c>
      <c r="F39" s="895">
        <v>0.46875318779231095</v>
      </c>
      <c r="G39" s="895">
        <v>2.23</v>
      </c>
      <c r="H39" s="895">
        <v>2.698753187792311</v>
      </c>
      <c r="I39" s="893">
        <v>292.97074237019433</v>
      </c>
      <c r="J39" s="895">
        <v>195.31382824679622</v>
      </c>
      <c r="K39" s="895">
        <v>488.28457061699055</v>
      </c>
      <c r="L39" s="893">
        <v>283.803877138617</v>
      </c>
      <c r="M39" s="895">
        <v>172.79872066046596</v>
      </c>
      <c r="N39" s="895">
        <v>456.60259779908296</v>
      </c>
      <c r="O39" s="895">
        <v>9.6356184193696208</v>
      </c>
      <c r="P39" s="895">
        <v>24.745107586330249</v>
      </c>
      <c r="Q39" s="895">
        <v>34.38072600569987</v>
      </c>
    </row>
    <row r="40" spans="1:17" ht="15.75">
      <c r="A40" s="891">
        <v>27</v>
      </c>
      <c r="B40" s="894" t="s">
        <v>851</v>
      </c>
      <c r="C40" s="895">
        <v>347.6114233239345</v>
      </c>
      <c r="D40" s="895">
        <v>232.82839143428865</v>
      </c>
      <c r="E40" s="895">
        <v>580.43981475822318</v>
      </c>
      <c r="F40" s="895">
        <v>0.55528981361650875</v>
      </c>
      <c r="G40" s="895">
        <v>1.4576357607433355</v>
      </c>
      <c r="H40" s="895">
        <v>2.0129255743598442</v>
      </c>
      <c r="I40" s="893">
        <v>347.05613351031798</v>
      </c>
      <c r="J40" s="895">
        <v>231.37075567354532</v>
      </c>
      <c r="K40" s="895">
        <v>578.4268891838633</v>
      </c>
      <c r="L40" s="893">
        <v>336.19697133616</v>
      </c>
      <c r="M40" s="895">
        <v>204.69912928087663</v>
      </c>
      <c r="N40" s="895">
        <v>540.89610061703661</v>
      </c>
      <c r="O40" s="895">
        <v>11.414451987774498</v>
      </c>
      <c r="P40" s="895">
        <v>28.129262153412014</v>
      </c>
      <c r="Q40" s="895">
        <v>39.543714141186513</v>
      </c>
    </row>
    <row r="41" spans="1:17" ht="15.75">
      <c r="A41" s="891">
        <v>28</v>
      </c>
      <c r="B41" s="900" t="s">
        <v>852</v>
      </c>
      <c r="C41" s="895">
        <v>357.2323871573123</v>
      </c>
      <c r="D41" s="895">
        <v>239.27246485383611</v>
      </c>
      <c r="E41" s="895">
        <v>596.50485201114839</v>
      </c>
      <c r="F41" s="895">
        <v>0.57065876542701643</v>
      </c>
      <c r="G41" s="895">
        <v>1.4979792592459182</v>
      </c>
      <c r="H41" s="895">
        <v>2.0686380246729348</v>
      </c>
      <c r="I41" s="901">
        <v>356.66172839188528</v>
      </c>
      <c r="J41" s="895">
        <v>237.7744855945902</v>
      </c>
      <c r="K41" s="895">
        <v>594.43621398647542</v>
      </c>
      <c r="L41" s="893">
        <v>345.50201336034604</v>
      </c>
      <c r="M41" s="895">
        <v>210.36465920133602</v>
      </c>
      <c r="N41" s="895">
        <v>555.86667256168209</v>
      </c>
      <c r="O41" s="895">
        <v>11.730373796966262</v>
      </c>
      <c r="P41" s="895">
        <v>28.907805652500087</v>
      </c>
      <c r="Q41" s="895">
        <v>40.63817944946635</v>
      </c>
    </row>
    <row r="42" spans="1:17" ht="15.75">
      <c r="A42" s="891">
        <v>29</v>
      </c>
      <c r="B42" s="902" t="s">
        <v>853</v>
      </c>
      <c r="C42" s="895">
        <v>262.27484340622073</v>
      </c>
      <c r="D42" s="895">
        <v>175.67037734270497</v>
      </c>
      <c r="E42" s="895">
        <v>437.94522074892569</v>
      </c>
      <c r="F42" s="895">
        <v>0.41896939841249314</v>
      </c>
      <c r="G42" s="895">
        <v>1.0997946708327946</v>
      </c>
      <c r="H42" s="895">
        <v>1.5187640692452877</v>
      </c>
      <c r="I42" s="893">
        <v>261.85587400780821</v>
      </c>
      <c r="J42" s="895">
        <v>174.57058267187216</v>
      </c>
      <c r="K42" s="895">
        <v>436.42645667968037</v>
      </c>
      <c r="L42" s="893">
        <v>253.66257290304003</v>
      </c>
      <c r="M42" s="895">
        <v>154.44668522156428</v>
      </c>
      <c r="N42" s="895">
        <v>408.10925812460431</v>
      </c>
      <c r="O42" s="895">
        <v>8.6122705031806959</v>
      </c>
      <c r="P42" s="895">
        <v>21.223692121140687</v>
      </c>
      <c r="Q42" s="895">
        <v>29.835962624321382</v>
      </c>
    </row>
    <row r="43" spans="1:17" ht="15.75">
      <c r="A43" s="891">
        <v>30</v>
      </c>
      <c r="B43" s="902" t="s">
        <v>854</v>
      </c>
      <c r="C43" s="895">
        <v>256.50816918086122</v>
      </c>
      <c r="D43" s="895">
        <v>172.92875111967842</v>
      </c>
      <c r="E43" s="895">
        <v>429.43692030053967</v>
      </c>
      <c r="F43" s="895">
        <v>0.2050425013436141</v>
      </c>
      <c r="G43" s="895">
        <v>2.06</v>
      </c>
      <c r="H43" s="895">
        <v>2.265042501343614</v>
      </c>
      <c r="I43" s="893">
        <v>256.30312667951762</v>
      </c>
      <c r="J43" s="895">
        <v>170.86875111967842</v>
      </c>
      <c r="K43" s="895">
        <v>427.17187779919607</v>
      </c>
      <c r="L43" s="893">
        <v>248.283567450855</v>
      </c>
      <c r="M43" s="895">
        <v>151.17158810191057</v>
      </c>
      <c r="N43" s="903">
        <v>399.45515555276558</v>
      </c>
      <c r="O43" s="895">
        <v>8.2246017300062135</v>
      </c>
      <c r="P43" s="895">
        <v>21.757163017767851</v>
      </c>
      <c r="Q43" s="895">
        <v>29.981764747774065</v>
      </c>
    </row>
    <row r="44" spans="1:17" ht="15.75">
      <c r="A44" s="891">
        <v>31</v>
      </c>
      <c r="B44" s="904" t="s">
        <v>855</v>
      </c>
      <c r="C44" s="895">
        <v>340.03925778980198</v>
      </c>
      <c r="D44" s="895">
        <v>227.21035781091285</v>
      </c>
      <c r="E44" s="895">
        <v>567.24961560071483</v>
      </c>
      <c r="F44" s="895">
        <v>0.67872107343273858</v>
      </c>
      <c r="G44" s="895">
        <v>0.97</v>
      </c>
      <c r="H44" s="895">
        <v>1.6487210734327387</v>
      </c>
      <c r="I44" s="893">
        <v>339.36053671636927</v>
      </c>
      <c r="J44" s="895">
        <v>226.24035781091285</v>
      </c>
      <c r="K44" s="895">
        <v>565.60089452728209</v>
      </c>
      <c r="L44" s="893">
        <v>328.74216479353794</v>
      </c>
      <c r="M44" s="895">
        <v>200.16014607062544</v>
      </c>
      <c r="N44" s="895">
        <v>528.90231086416338</v>
      </c>
      <c r="O44" s="895">
        <v>11.297092996264041</v>
      </c>
      <c r="P44" s="895">
        <v>27.050211740287409</v>
      </c>
      <c r="Q44" s="895">
        <v>38.34730473655145</v>
      </c>
    </row>
    <row r="45" spans="1:17" ht="15.75">
      <c r="A45" s="891">
        <v>32</v>
      </c>
      <c r="B45" s="902" t="s">
        <v>856</v>
      </c>
      <c r="C45" s="895">
        <v>470.1</v>
      </c>
      <c r="D45" s="895">
        <v>315.06952722067723</v>
      </c>
      <c r="E45" s="895">
        <v>785.16952722067731</v>
      </c>
      <c r="F45" s="895">
        <v>0.46964552402962917</v>
      </c>
      <c r="G45" s="895">
        <v>1.9725112009244428</v>
      </c>
      <c r="H45" s="895">
        <v>2.4421567249540721</v>
      </c>
      <c r="I45" s="893">
        <v>469.64552402962914</v>
      </c>
      <c r="J45" s="895">
        <v>313.0970160197528</v>
      </c>
      <c r="K45" s="895">
        <v>782.74254004938189</v>
      </c>
      <c r="L45" s="893">
        <v>454.95061903480496</v>
      </c>
      <c r="M45" s="895">
        <v>277.00426690965816</v>
      </c>
      <c r="N45" s="895">
        <v>731.95488594446306</v>
      </c>
      <c r="O45" s="895">
        <v>15.164550518853787</v>
      </c>
      <c r="P45" s="895">
        <v>38.065260311019074</v>
      </c>
      <c r="Q45" s="895">
        <v>53.229810829872861</v>
      </c>
    </row>
    <row r="46" spans="1:17" ht="15.75">
      <c r="A46" s="891">
        <v>33</v>
      </c>
      <c r="B46" s="902" t="s">
        <v>857</v>
      </c>
      <c r="C46" s="895">
        <v>332.1438343689353</v>
      </c>
      <c r="D46" s="895">
        <v>222.37221966501949</v>
      </c>
      <c r="E46" s="895">
        <v>554.51605403395479</v>
      </c>
      <c r="F46" s="895">
        <v>0.66296174524737583</v>
      </c>
      <c r="G46" s="895">
        <v>1.3922196650194891</v>
      </c>
      <c r="H46" s="895">
        <v>2.0551814102668651</v>
      </c>
      <c r="I46" s="893">
        <v>331.47</v>
      </c>
      <c r="J46" s="895">
        <v>220.98</v>
      </c>
      <c r="K46" s="895">
        <v>552.46087262368792</v>
      </c>
      <c r="L46" s="893">
        <v>320.97343080857104</v>
      </c>
      <c r="M46" s="895">
        <v>195.65002290497901</v>
      </c>
      <c r="N46" s="895">
        <v>516.62345371355002</v>
      </c>
      <c r="O46" s="895">
        <v>11.170403560364264</v>
      </c>
      <c r="P46" s="895">
        <v>26.722196760040475</v>
      </c>
      <c r="Q46" s="895">
        <v>37.892600320404739</v>
      </c>
    </row>
    <row r="47" spans="1:17">
      <c r="A47" s="878"/>
      <c r="B47" s="878" t="s">
        <v>18</v>
      </c>
      <c r="C47" s="905">
        <f>SUM(C14:C46)</f>
        <v>16954.503393408177</v>
      </c>
      <c r="D47" s="929">
        <f t="shared" ref="D47:Q47" si="0">SUM(D14:D46)</f>
        <v>11356.476731158737</v>
      </c>
      <c r="E47" s="929">
        <f t="shared" si="0"/>
        <v>28310.980124566908</v>
      </c>
      <c r="F47" s="929">
        <f t="shared" si="0"/>
        <v>27.197483210215513</v>
      </c>
      <c r="G47" s="929">
        <f t="shared" si="0"/>
        <v>71.603259740117835</v>
      </c>
      <c r="H47" s="929">
        <f t="shared" si="0"/>
        <v>98.800742950333401</v>
      </c>
      <c r="I47" s="929">
        <f t="shared" si="0"/>
        <v>16927.310207127928</v>
      </c>
      <c r="J47" s="929">
        <f t="shared" si="0"/>
        <v>11284.873471418618</v>
      </c>
      <c r="K47" s="929">
        <f t="shared" si="0"/>
        <v>28212.194551170229</v>
      </c>
      <c r="L47" s="929">
        <f t="shared" si="0"/>
        <v>16397.540520925711</v>
      </c>
      <c r="M47" s="929">
        <f t="shared" si="0"/>
        <v>9984.1358385076383</v>
      </c>
      <c r="N47" s="929">
        <f t="shared" si="0"/>
        <v>26381.67635943335</v>
      </c>
      <c r="O47" s="929">
        <f t="shared" si="0"/>
        <v>556.9780420361169</v>
      </c>
      <c r="P47" s="929">
        <f t="shared" si="0"/>
        <v>1372.3408926510988</v>
      </c>
      <c r="Q47" s="929">
        <f t="shared" si="0"/>
        <v>1929.3189346872161</v>
      </c>
    </row>
    <row r="48" spans="1:17">
      <c r="A48" s="880"/>
      <c r="B48" s="885"/>
      <c r="C48" s="907"/>
      <c r="D48" s="907"/>
      <c r="E48" s="907"/>
      <c r="F48" s="907"/>
      <c r="G48" s="907"/>
      <c r="H48" s="907"/>
      <c r="I48" s="907"/>
      <c r="J48" s="907"/>
      <c r="K48" s="907"/>
      <c r="L48" s="907"/>
      <c r="M48" s="907"/>
      <c r="N48" s="907"/>
      <c r="O48" s="907"/>
      <c r="P48" s="907"/>
      <c r="Q48" s="907"/>
    </row>
    <row r="49" spans="1:17" ht="12.75" customHeight="1">
      <c r="A49" s="1250" t="s">
        <v>730</v>
      </c>
      <c r="B49" s="1250"/>
      <c r="C49" s="1250"/>
      <c r="D49" s="1250"/>
      <c r="E49" s="1250"/>
      <c r="F49" s="1250"/>
      <c r="G49" s="1250"/>
      <c r="H49" s="1250"/>
      <c r="I49" s="1250"/>
      <c r="J49" s="1250"/>
      <c r="K49" s="1250"/>
      <c r="L49" s="1250"/>
      <c r="M49" s="1250"/>
      <c r="N49" s="1250"/>
      <c r="O49" s="1250"/>
      <c r="P49" s="1250"/>
      <c r="Q49" s="1250"/>
    </row>
    <row r="50" spans="1:17">
      <c r="A50" s="887"/>
      <c r="B50" s="890"/>
      <c r="C50" s="890"/>
      <c r="D50" s="890"/>
      <c r="E50" s="890"/>
      <c r="F50" s="890"/>
      <c r="G50" s="890"/>
      <c r="H50" s="890"/>
      <c r="I50" s="890"/>
      <c r="J50" s="906"/>
      <c r="K50" s="890"/>
      <c r="L50" s="890"/>
      <c r="M50" s="906"/>
      <c r="N50" s="890"/>
      <c r="O50" s="890"/>
      <c r="P50" s="890"/>
      <c r="Q50" s="890"/>
    </row>
    <row r="51" spans="1:17" s="994" customFormat="1" ht="15.75" customHeight="1">
      <c r="A51" s="15" t="s">
        <v>12</v>
      </c>
      <c r="B51" s="15"/>
      <c r="C51" s="15"/>
      <c r="D51" s="15"/>
      <c r="E51" s="15"/>
      <c r="F51" s="15"/>
      <c r="G51" s="15"/>
      <c r="I51" s="1202"/>
      <c r="J51" s="1202"/>
    </row>
    <row r="52" spans="1:17" s="994" customFormat="1" ht="15.6" customHeight="1">
      <c r="M52" s="998"/>
      <c r="N52" s="998"/>
      <c r="O52" s="1040" t="s">
        <v>1106</v>
      </c>
      <c r="P52" s="1040"/>
      <c r="Q52" s="1040"/>
    </row>
    <row r="53" spans="1:17" s="994" customFormat="1" ht="15.6" customHeight="1">
      <c r="M53" s="998"/>
      <c r="N53" s="998"/>
      <c r="O53" s="1040" t="s">
        <v>481</v>
      </c>
      <c r="P53" s="1040"/>
      <c r="Q53" s="1040"/>
    </row>
    <row r="54" spans="1:17" s="994" customFormat="1" ht="15.6" customHeight="1">
      <c r="M54" s="998"/>
      <c r="N54" s="998"/>
      <c r="O54" s="1040" t="s">
        <v>1107</v>
      </c>
      <c r="P54" s="1040"/>
      <c r="Q54" s="1040"/>
    </row>
    <row r="55" spans="1:17">
      <c r="A55" s="877"/>
      <c r="B55" s="877"/>
      <c r="C55" s="877"/>
      <c r="D55" s="877"/>
      <c r="E55" s="877"/>
      <c r="F55" s="877"/>
      <c r="G55" s="877"/>
      <c r="H55" s="877"/>
      <c r="I55" s="892"/>
      <c r="J55" s="892"/>
      <c r="K55" s="877"/>
      <c r="L55" s="892"/>
      <c r="M55" s="892"/>
      <c r="N55" s="877"/>
      <c r="O55" s="877"/>
      <c r="P55" s="877"/>
      <c r="Q55" s="877"/>
    </row>
    <row r="56" spans="1:17">
      <c r="A56" s="877"/>
      <c r="B56" s="877"/>
      <c r="C56" s="877"/>
      <c r="D56" s="877"/>
      <c r="E56" s="877"/>
      <c r="F56" s="877"/>
      <c r="G56" s="877"/>
      <c r="H56" s="877"/>
      <c r="I56" s="892"/>
      <c r="J56" s="892"/>
      <c r="K56" s="877"/>
      <c r="L56" s="877"/>
      <c r="M56" s="892"/>
      <c r="N56" s="892"/>
      <c r="O56" s="877"/>
      <c r="P56" s="877"/>
      <c r="Q56" s="877"/>
    </row>
    <row r="57" spans="1:17">
      <c r="A57" s="877"/>
      <c r="B57" s="877"/>
      <c r="C57" s="877"/>
      <c r="D57" s="877"/>
      <c r="E57" s="892"/>
      <c r="F57" s="892"/>
      <c r="G57" s="877"/>
      <c r="H57" s="892"/>
      <c r="I57" s="877"/>
      <c r="J57" s="877"/>
      <c r="K57" s="877"/>
      <c r="L57" s="892"/>
      <c r="M57" s="892"/>
      <c r="N57" s="877"/>
      <c r="O57" s="877"/>
      <c r="P57" s="877"/>
      <c r="Q57" s="877"/>
    </row>
    <row r="58" spans="1:17">
      <c r="A58" s="877"/>
      <c r="B58" s="877"/>
      <c r="C58" s="877"/>
      <c r="D58" s="877"/>
      <c r="E58" s="877"/>
      <c r="F58" s="877"/>
      <c r="G58" s="877"/>
      <c r="H58" s="892"/>
      <c r="I58" s="877"/>
      <c r="J58" s="877"/>
      <c r="K58" s="877"/>
      <c r="L58" s="877"/>
      <c r="M58" s="892"/>
      <c r="N58" s="877"/>
      <c r="O58" s="877"/>
      <c r="P58" s="877"/>
      <c r="Q58" s="877"/>
    </row>
    <row r="59" spans="1:17">
      <c r="A59" s="877"/>
      <c r="B59" s="877"/>
      <c r="C59" s="877"/>
      <c r="D59" s="877"/>
      <c r="E59" s="877"/>
      <c r="F59" s="877"/>
      <c r="G59" s="877"/>
      <c r="H59" s="877"/>
      <c r="I59" s="877"/>
      <c r="J59" s="877"/>
      <c r="K59" s="892"/>
      <c r="L59" s="892"/>
      <c r="M59" s="892"/>
      <c r="N59" s="892"/>
      <c r="O59" s="892"/>
      <c r="P59" s="877"/>
      <c r="Q59" s="877"/>
    </row>
    <row r="60" spans="1:17">
      <c r="A60" s="828"/>
      <c r="B60" s="828"/>
      <c r="C60" s="828"/>
      <c r="D60" s="828"/>
      <c r="E60" s="828"/>
      <c r="F60" s="828"/>
      <c r="G60" s="828"/>
      <c r="H60" s="828"/>
      <c r="I60" s="828"/>
      <c r="J60" s="828"/>
      <c r="K60" s="828"/>
      <c r="L60" s="828"/>
      <c r="M60" s="828"/>
      <c r="N60" s="828"/>
      <c r="O60" s="828"/>
      <c r="P60" s="828"/>
      <c r="Q60" s="828"/>
    </row>
    <row r="61" spans="1:17">
      <c r="A61" s="877"/>
      <c r="B61" s="877"/>
      <c r="C61" s="877"/>
      <c r="D61" s="877"/>
      <c r="E61" s="877"/>
      <c r="F61" s="877"/>
      <c r="G61" s="877"/>
      <c r="H61" s="877"/>
      <c r="I61" s="877"/>
      <c r="J61" s="892"/>
      <c r="K61" s="892"/>
      <c r="L61" s="877"/>
      <c r="M61" s="892"/>
      <c r="N61" s="877"/>
      <c r="O61" s="877"/>
      <c r="P61" s="877"/>
      <c r="Q61" s="877"/>
    </row>
    <row r="62" spans="1:17">
      <c r="A62" s="877"/>
      <c r="B62" s="877"/>
      <c r="C62" s="877"/>
      <c r="D62" s="877"/>
      <c r="E62" s="877"/>
      <c r="F62" s="877"/>
      <c r="G62" s="877"/>
      <c r="H62" s="877"/>
      <c r="I62" s="877"/>
      <c r="J62" s="877"/>
      <c r="K62" s="892"/>
      <c r="L62" s="877"/>
      <c r="M62" s="877"/>
      <c r="N62" s="877"/>
      <c r="O62" s="877"/>
      <c r="P62" s="877"/>
      <c r="Q62" s="877"/>
    </row>
    <row r="63" spans="1:17">
      <c r="A63" s="828"/>
      <c r="B63" s="828"/>
      <c r="C63" s="828"/>
      <c r="D63" s="828"/>
      <c r="E63" s="828"/>
      <c r="F63" s="828"/>
      <c r="G63" s="828"/>
      <c r="H63" s="828"/>
      <c r="I63" s="828"/>
      <c r="J63" s="828"/>
      <c r="K63" s="828"/>
      <c r="L63" s="828"/>
      <c r="M63" s="828"/>
      <c r="N63" s="828"/>
      <c r="O63" s="828"/>
      <c r="P63" s="828"/>
      <c r="Q63" s="828"/>
    </row>
    <row r="64" spans="1:17">
      <c r="A64" s="828"/>
      <c r="B64" s="828"/>
      <c r="C64" s="828"/>
      <c r="D64" s="828"/>
      <c r="E64" s="828"/>
      <c r="F64" s="828"/>
      <c r="G64" s="828"/>
      <c r="H64" s="828"/>
      <c r="I64" s="828"/>
      <c r="J64" s="828"/>
      <c r="K64" s="828"/>
      <c r="L64" s="828"/>
      <c r="M64" s="828"/>
      <c r="N64" s="828"/>
      <c r="O64" s="828"/>
      <c r="P64" s="828"/>
      <c r="Q64" s="828"/>
    </row>
    <row r="65" spans="1:17">
      <c r="A65" s="828"/>
      <c r="B65" s="828"/>
      <c r="C65" s="828"/>
      <c r="D65" s="828"/>
      <c r="E65" s="828"/>
      <c r="F65" s="828"/>
      <c r="G65" s="828"/>
      <c r="H65" s="828"/>
      <c r="I65" s="828"/>
      <c r="J65" s="828"/>
      <c r="K65" s="828"/>
      <c r="L65" s="828"/>
      <c r="M65" s="828"/>
      <c r="N65" s="828"/>
      <c r="O65" s="828"/>
      <c r="P65" s="828"/>
      <c r="Q65" s="828"/>
    </row>
    <row r="66" spans="1:17">
      <c r="A66" s="828"/>
      <c r="B66" s="828"/>
      <c r="C66" s="828"/>
      <c r="D66" s="828"/>
      <c r="E66" s="828"/>
      <c r="F66" s="828"/>
      <c r="G66" s="828"/>
      <c r="H66" s="828"/>
      <c r="I66" s="828"/>
      <c r="J66" s="828"/>
      <c r="K66" s="828"/>
      <c r="L66" s="828"/>
      <c r="M66" s="828"/>
      <c r="N66" s="828"/>
      <c r="O66" s="892"/>
      <c r="P66" s="828"/>
      <c r="Q66" s="828"/>
    </row>
  </sheetData>
  <mergeCells count="18">
    <mergeCell ref="A11:A12"/>
    <mergeCell ref="B11:B12"/>
    <mergeCell ref="I11:K11"/>
    <mergeCell ref="O11:Q11"/>
    <mergeCell ref="L11:N11"/>
    <mergeCell ref="C11:E11"/>
    <mergeCell ref="F11:H11"/>
    <mergeCell ref="P1:Q1"/>
    <mergeCell ref="A2:Q2"/>
    <mergeCell ref="A3:Q3"/>
    <mergeCell ref="N10:Q10"/>
    <mergeCell ref="A6:Q6"/>
    <mergeCell ref="A9:B9"/>
    <mergeCell ref="A49:Q49"/>
    <mergeCell ref="I51:J51"/>
    <mergeCell ref="O52:Q52"/>
    <mergeCell ref="O53:Q53"/>
    <mergeCell ref="O54:Q54"/>
  </mergeCells>
  <phoneticPr fontId="0" type="noConversion"/>
  <printOptions horizontalCentered="1"/>
  <pageMargins left="0.70866141732283472" right="0.70866141732283472" top="0.63" bottom="0" header="0.79" footer="0.31496062992125984"/>
  <pageSetup paperSize="9" scale="78"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Q61"/>
  <sheetViews>
    <sheetView topLeftCell="C41" zoomScaleSheetLayoutView="90" workbookViewId="0">
      <selection activeCell="E13" sqref="E13"/>
    </sheetView>
  </sheetViews>
  <sheetFormatPr defaultColWidth="9.140625" defaultRowHeight="12.75"/>
  <cols>
    <col min="1" max="1" width="7.42578125" style="16" customWidth="1"/>
    <col min="2" max="2" width="17.140625" style="16" customWidth="1"/>
    <col min="3" max="3" width="8.7109375" style="16" customWidth="1"/>
    <col min="4" max="4" width="8.5703125" style="16" bestFit="1" customWidth="1"/>
    <col min="5" max="5" width="10" style="16" customWidth="1"/>
    <col min="6" max="7" width="7.28515625" style="16" customWidth="1"/>
    <col min="8" max="8" width="8.140625" style="16" customWidth="1"/>
    <col min="9" max="9" width="9.28515625" style="16" customWidth="1"/>
    <col min="10" max="10" width="10" style="16" customWidth="1"/>
    <col min="11" max="11" width="8.42578125" style="16" customWidth="1"/>
    <col min="12" max="12" width="11.5703125" style="16" bestFit="1" customWidth="1"/>
    <col min="13" max="13" width="10.28515625" style="16" customWidth="1"/>
    <col min="14" max="14" width="8.7109375" style="16" customWidth="1"/>
    <col min="15" max="15" width="13.7109375" style="16" customWidth="1"/>
    <col min="16" max="16" width="11.85546875" style="16" customWidth="1"/>
    <col min="17" max="17" width="9.7109375" style="16" customWidth="1"/>
    <col min="18" max="16384" width="9.140625" style="16"/>
  </cols>
  <sheetData>
    <row r="1" spans="1:17" customFormat="1" ht="15">
      <c r="A1" s="910"/>
      <c r="B1" s="910"/>
      <c r="C1" s="910"/>
      <c r="D1" s="910"/>
      <c r="E1" s="910"/>
      <c r="F1" s="910"/>
      <c r="G1" s="910"/>
      <c r="H1" s="921"/>
      <c r="I1" s="921"/>
      <c r="J1" s="921"/>
      <c r="K1" s="921"/>
      <c r="L1" s="921"/>
      <c r="M1" s="921"/>
      <c r="N1" s="921"/>
      <c r="O1" s="921"/>
      <c r="P1" s="1251" t="s">
        <v>90</v>
      </c>
      <c r="Q1" s="1251"/>
    </row>
    <row r="2" spans="1:17" customFormat="1" ht="15">
      <c r="A2" s="1216" t="s">
        <v>0</v>
      </c>
      <c r="B2" s="1216"/>
      <c r="C2" s="1216"/>
      <c r="D2" s="1216"/>
      <c r="E2" s="1216"/>
      <c r="F2" s="1216"/>
      <c r="G2" s="1216"/>
      <c r="H2" s="1216"/>
      <c r="I2" s="1216"/>
      <c r="J2" s="1216"/>
      <c r="K2" s="1216"/>
      <c r="L2" s="1216"/>
      <c r="M2" s="1216"/>
      <c r="N2" s="1216"/>
      <c r="O2" s="1216"/>
      <c r="P2" s="1216"/>
      <c r="Q2" s="1216"/>
    </row>
    <row r="3" spans="1:17" customFormat="1" ht="20.25">
      <c r="A3" s="1252" t="s">
        <v>636</v>
      </c>
      <c r="B3" s="1252"/>
      <c r="C3" s="1252"/>
      <c r="D3" s="1252"/>
      <c r="E3" s="1252"/>
      <c r="F3" s="1252"/>
      <c r="G3" s="1252"/>
      <c r="H3" s="1252"/>
      <c r="I3" s="1252"/>
      <c r="J3" s="1252"/>
      <c r="K3" s="1252"/>
      <c r="L3" s="1252"/>
      <c r="M3" s="1252"/>
      <c r="N3" s="1252"/>
      <c r="O3" s="1252"/>
      <c r="P3" s="1252"/>
      <c r="Q3" s="1252"/>
    </row>
    <row r="4" spans="1:17" customFormat="1" ht="10.5" customHeight="1">
      <c r="A4" s="910"/>
      <c r="B4" s="910"/>
      <c r="C4" s="910"/>
      <c r="D4" s="910"/>
      <c r="E4" s="910"/>
      <c r="F4" s="910"/>
      <c r="G4" s="910"/>
      <c r="H4" s="910"/>
      <c r="I4" s="910"/>
      <c r="J4" s="910"/>
      <c r="K4" s="910"/>
      <c r="L4" s="910"/>
      <c r="M4" s="910"/>
      <c r="N4" s="910"/>
      <c r="O4" s="910"/>
      <c r="P4" s="910"/>
      <c r="Q4" s="910"/>
    </row>
    <row r="5" spans="1:17" ht="9" customHeight="1">
      <c r="A5" s="918"/>
      <c r="B5" s="918"/>
      <c r="C5" s="918"/>
      <c r="D5" s="918"/>
      <c r="E5" s="917"/>
      <c r="F5" s="917"/>
      <c r="G5" s="917"/>
      <c r="H5" s="917"/>
      <c r="I5" s="917"/>
      <c r="J5" s="917"/>
      <c r="K5" s="917"/>
      <c r="L5" s="917"/>
      <c r="M5" s="917"/>
      <c r="N5" s="918"/>
      <c r="O5" s="918"/>
      <c r="P5" s="917"/>
      <c r="Q5" s="916"/>
    </row>
    <row r="6" spans="1:17" ht="18.600000000000001" customHeight="1">
      <c r="A6" s="910"/>
      <c r="B6" s="924"/>
      <c r="C6" s="924"/>
      <c r="D6" s="1262" t="s">
        <v>732</v>
      </c>
      <c r="E6" s="1262"/>
      <c r="F6" s="1262"/>
      <c r="G6" s="1262"/>
      <c r="H6" s="1262"/>
      <c r="I6" s="1262"/>
      <c r="J6" s="1262"/>
      <c r="K6" s="1262"/>
      <c r="L6" s="1262"/>
      <c r="M6" s="1262"/>
      <c r="N6" s="1262"/>
      <c r="O6" s="1262"/>
      <c r="P6" s="910"/>
      <c r="Q6" s="910"/>
    </row>
    <row r="7" spans="1:17" ht="5.45" customHeight="1">
      <c r="A7" s="910"/>
      <c r="B7" s="910"/>
      <c r="C7" s="910"/>
      <c r="D7" s="910"/>
      <c r="E7" s="910"/>
      <c r="F7" s="910"/>
      <c r="G7" s="910"/>
      <c r="H7" s="910"/>
      <c r="I7" s="910"/>
      <c r="J7" s="910"/>
      <c r="K7" s="910"/>
      <c r="L7" s="910"/>
      <c r="M7" s="910"/>
      <c r="N7" s="910"/>
      <c r="O7" s="910"/>
      <c r="P7" s="910"/>
      <c r="Q7" s="910"/>
    </row>
    <row r="8" spans="1:17">
      <c r="A8" s="1220" t="s">
        <v>1061</v>
      </c>
      <c r="B8" s="1220"/>
      <c r="C8" s="910"/>
      <c r="D8" s="910"/>
      <c r="E8" s="910"/>
      <c r="F8" s="910"/>
      <c r="G8" s="910"/>
      <c r="H8" s="910"/>
      <c r="I8" s="910"/>
      <c r="J8" s="910"/>
      <c r="K8" s="910"/>
      <c r="L8" s="910"/>
      <c r="M8" s="910"/>
      <c r="N8" s="910"/>
      <c r="O8" s="910"/>
      <c r="P8" s="910"/>
      <c r="Q8" s="920" t="s">
        <v>24</v>
      </c>
    </row>
    <row r="9" spans="1:17" ht="15.75">
      <c r="A9" s="914"/>
      <c r="B9" s="910"/>
      <c r="C9" s="910"/>
      <c r="D9" s="910"/>
      <c r="E9" s="910"/>
      <c r="F9" s="910"/>
      <c r="G9" s="910"/>
      <c r="H9" s="910"/>
      <c r="I9" s="910"/>
      <c r="J9" s="910"/>
      <c r="K9" s="910"/>
      <c r="L9" s="910"/>
      <c r="M9" s="910"/>
      <c r="N9" s="1221" t="s">
        <v>794</v>
      </c>
      <c r="O9" s="1221"/>
      <c r="P9" s="1221"/>
      <c r="Q9" s="1221"/>
    </row>
    <row r="10" spans="1:17" ht="37.15" customHeight="1">
      <c r="A10" s="1253" t="s">
        <v>2</v>
      </c>
      <c r="B10" s="1253" t="s">
        <v>3</v>
      </c>
      <c r="C10" s="1226" t="s">
        <v>659</v>
      </c>
      <c r="D10" s="1226"/>
      <c r="E10" s="1226"/>
      <c r="F10" s="1226" t="s">
        <v>660</v>
      </c>
      <c r="G10" s="1226"/>
      <c r="H10" s="1226"/>
      <c r="I10" s="1255" t="s">
        <v>369</v>
      </c>
      <c r="J10" s="1256"/>
      <c r="K10" s="1257"/>
      <c r="L10" s="1255" t="s">
        <v>91</v>
      </c>
      <c r="M10" s="1256"/>
      <c r="N10" s="1257"/>
      <c r="O10" s="1258" t="s">
        <v>1081</v>
      </c>
      <c r="P10" s="1259"/>
      <c r="Q10" s="1260"/>
    </row>
    <row r="11" spans="1:17" ht="39.75" customHeight="1">
      <c r="A11" s="1254"/>
      <c r="B11" s="1254"/>
      <c r="C11" s="912" t="s">
        <v>113</v>
      </c>
      <c r="D11" s="912" t="s">
        <v>727</v>
      </c>
      <c r="E11" s="922" t="s">
        <v>18</v>
      </c>
      <c r="F11" s="912" t="s">
        <v>113</v>
      </c>
      <c r="G11" s="912" t="s">
        <v>728</v>
      </c>
      <c r="H11" s="922" t="s">
        <v>18</v>
      </c>
      <c r="I11" s="912" t="s">
        <v>113</v>
      </c>
      <c r="J11" s="912" t="s">
        <v>728</v>
      </c>
      <c r="K11" s="922" t="s">
        <v>18</v>
      </c>
      <c r="L11" s="912" t="s">
        <v>113</v>
      </c>
      <c r="M11" s="912" t="s">
        <v>728</v>
      </c>
      <c r="N11" s="922" t="s">
        <v>18</v>
      </c>
      <c r="O11" s="912" t="s">
        <v>236</v>
      </c>
      <c r="P11" s="912" t="s">
        <v>729</v>
      </c>
      <c r="Q11" s="912" t="s">
        <v>114</v>
      </c>
    </row>
    <row r="12" spans="1:17" s="62" customFormat="1">
      <c r="A12" s="923">
        <v>1</v>
      </c>
      <c r="B12" s="923">
        <v>2</v>
      </c>
      <c r="C12" s="923">
        <v>3</v>
      </c>
      <c r="D12" s="923">
        <v>4</v>
      </c>
      <c r="E12" s="923">
        <v>5</v>
      </c>
      <c r="F12" s="923">
        <v>6</v>
      </c>
      <c r="G12" s="923">
        <v>7</v>
      </c>
      <c r="H12" s="923">
        <v>8</v>
      </c>
      <c r="I12" s="923">
        <v>9</v>
      </c>
      <c r="J12" s="923">
        <v>10</v>
      </c>
      <c r="K12" s="923">
        <v>11</v>
      </c>
      <c r="L12" s="923">
        <v>12</v>
      </c>
      <c r="M12" s="923">
        <v>13</v>
      </c>
      <c r="N12" s="923">
        <v>14</v>
      </c>
      <c r="O12" s="923">
        <v>15</v>
      </c>
      <c r="P12" s="923">
        <v>16</v>
      </c>
      <c r="Q12" s="923">
        <v>17</v>
      </c>
    </row>
    <row r="13" spans="1:17" s="62" customFormat="1">
      <c r="A13" s="923">
        <v>1</v>
      </c>
      <c r="B13" s="931" t="s">
        <v>825</v>
      </c>
      <c r="C13" s="928">
        <v>900.82825311881686</v>
      </c>
      <c r="D13" s="928">
        <v>603.61131383237796</v>
      </c>
      <c r="E13" s="928">
        <v>1504.4395669511948</v>
      </c>
      <c r="F13" s="928">
        <v>1.0796982658235919</v>
      </c>
      <c r="G13" s="928">
        <v>3.7789439303825714</v>
      </c>
      <c r="H13" s="928">
        <v>4.858642196206163</v>
      </c>
      <c r="I13" s="928">
        <v>899.74855485299327</v>
      </c>
      <c r="J13" s="928">
        <v>599.83236990199543</v>
      </c>
      <c r="K13" s="928">
        <v>1499.5809247549887</v>
      </c>
      <c r="L13" s="928">
        <v>849.69870216231936</v>
      </c>
      <c r="M13" s="928">
        <v>514.20106822805894</v>
      </c>
      <c r="N13" s="928">
        <v>1363.8997703903783</v>
      </c>
      <c r="O13" s="928">
        <v>51.129550956497496</v>
      </c>
      <c r="P13" s="928">
        <v>89.410245604319016</v>
      </c>
      <c r="Q13" s="928">
        <v>140.53979656081651</v>
      </c>
    </row>
    <row r="14" spans="1:17" s="62" customFormat="1">
      <c r="A14" s="923">
        <v>2</v>
      </c>
      <c r="B14" s="931" t="s">
        <v>826</v>
      </c>
      <c r="C14" s="928">
        <v>244.28714730440015</v>
      </c>
      <c r="D14" s="928">
        <v>163.65498723947664</v>
      </c>
      <c r="E14" s="928">
        <v>407.94213454387682</v>
      </c>
      <c r="F14" s="928">
        <v>0.34152387280423435</v>
      </c>
      <c r="G14" s="928">
        <v>1.0245716184127029</v>
      </c>
      <c r="H14" s="928">
        <v>1.3660954912169374</v>
      </c>
      <c r="I14" s="928">
        <v>243.94562343159592</v>
      </c>
      <c r="J14" s="928">
        <v>162.63041562106395</v>
      </c>
      <c r="K14" s="928">
        <v>406.57603905265989</v>
      </c>
      <c r="L14" s="928">
        <v>230.37578500125699</v>
      </c>
      <c r="M14" s="928">
        <v>139.36199154009373</v>
      </c>
      <c r="N14" s="928">
        <v>369.73777654135074</v>
      </c>
      <c r="O14" s="928">
        <v>13.911362303143164</v>
      </c>
      <c r="P14" s="928">
        <v>24.292995699382914</v>
      </c>
      <c r="Q14" s="928">
        <v>38.204358002526078</v>
      </c>
    </row>
    <row r="15" spans="1:17" s="62" customFormat="1">
      <c r="A15" s="923">
        <v>3</v>
      </c>
      <c r="B15" s="931" t="s">
        <v>827</v>
      </c>
      <c r="C15" s="928">
        <v>626.97232776108387</v>
      </c>
      <c r="D15" s="928">
        <v>420.02679809997915</v>
      </c>
      <c r="E15" s="928">
        <v>1046.999125861063</v>
      </c>
      <c r="F15" s="928">
        <v>0.87653411110996349</v>
      </c>
      <c r="G15" s="928">
        <v>2.6296023333298906</v>
      </c>
      <c r="H15" s="928">
        <v>3.5061364444398539</v>
      </c>
      <c r="I15" s="928">
        <v>626.09579364997387</v>
      </c>
      <c r="J15" s="928">
        <v>417.39719576664925</v>
      </c>
      <c r="K15" s="928">
        <v>1043.492989416623</v>
      </c>
      <c r="L15" s="928">
        <v>591.26828314894078</v>
      </c>
      <c r="M15" s="928">
        <v>357.67789341956598</v>
      </c>
      <c r="N15" s="928">
        <v>948.94617656850676</v>
      </c>
      <c r="O15" s="928">
        <v>35.704044612143093</v>
      </c>
      <c r="P15" s="928">
        <v>62.34890468041317</v>
      </c>
      <c r="Q15" s="928">
        <v>98.052949292556264</v>
      </c>
    </row>
    <row r="16" spans="1:17" s="62" customFormat="1">
      <c r="A16" s="923">
        <v>4</v>
      </c>
      <c r="B16" s="931" t="s">
        <v>828</v>
      </c>
      <c r="C16" s="928">
        <v>412.61792097004519</v>
      </c>
      <c r="D16" s="928">
        <v>276.42461478740194</v>
      </c>
      <c r="E16" s="928">
        <v>689.04253575744713</v>
      </c>
      <c r="F16" s="928">
        <v>0.57685748887364019</v>
      </c>
      <c r="G16" s="928">
        <v>1.7305724666209203</v>
      </c>
      <c r="H16" s="928">
        <v>2.3074299554945608</v>
      </c>
      <c r="I16" s="928">
        <v>412.04106348117153</v>
      </c>
      <c r="J16" s="928">
        <v>274.69404232078102</v>
      </c>
      <c r="K16" s="928">
        <v>686.73510580195261</v>
      </c>
      <c r="L16" s="928">
        <v>389.12066597843716</v>
      </c>
      <c r="M16" s="928">
        <v>235.39206153922251</v>
      </c>
      <c r="N16" s="928">
        <v>624.51272751765964</v>
      </c>
      <c r="O16" s="928">
        <v>23.497254991608031</v>
      </c>
      <c r="P16" s="928">
        <v>41.032553248179426</v>
      </c>
      <c r="Q16" s="928">
        <v>64.529808239787457</v>
      </c>
    </row>
    <row r="17" spans="1:17" s="62" customFormat="1">
      <c r="A17" s="923">
        <v>5</v>
      </c>
      <c r="B17" s="931" t="s">
        <v>829</v>
      </c>
      <c r="C17" s="928">
        <v>1232.7422976585367</v>
      </c>
      <c r="D17" s="928">
        <v>825.84952675173793</v>
      </c>
      <c r="E17" s="928">
        <v>2058.5918244102745</v>
      </c>
      <c r="F17" s="928">
        <v>1.7234264197343234</v>
      </c>
      <c r="G17" s="928">
        <v>5.17027925920297</v>
      </c>
      <c r="H17" s="928">
        <v>6.8937056789372937</v>
      </c>
      <c r="I17" s="928">
        <v>1231.0188712388024</v>
      </c>
      <c r="J17" s="928">
        <v>820.67924749253496</v>
      </c>
      <c r="K17" s="928">
        <v>2051.6981187313372</v>
      </c>
      <c r="L17" s="928">
        <v>1162.5416140844313</v>
      </c>
      <c r="M17" s="928">
        <v>703.26017374680873</v>
      </c>
      <c r="N17" s="928">
        <v>1865.8017878312401</v>
      </c>
      <c r="O17" s="928">
        <v>70.200683574105369</v>
      </c>
      <c r="P17" s="928">
        <v>122.58935300492919</v>
      </c>
      <c r="Q17" s="928">
        <v>192.79003657903456</v>
      </c>
    </row>
    <row r="18" spans="1:17" s="62" customFormat="1">
      <c r="A18" s="923">
        <v>6</v>
      </c>
      <c r="B18" s="931" t="s">
        <v>830</v>
      </c>
      <c r="C18" s="928">
        <v>570.29640105135866</v>
      </c>
      <c r="D18" s="928">
        <v>382.0579644351123</v>
      </c>
      <c r="E18" s="928">
        <v>952.3543654864709</v>
      </c>
      <c r="F18" s="928">
        <v>0.79729874323137817</v>
      </c>
      <c r="G18" s="928">
        <v>2.3918962296941344</v>
      </c>
      <c r="H18" s="928">
        <v>3.1891949729255127</v>
      </c>
      <c r="I18" s="928">
        <v>569.49910230812725</v>
      </c>
      <c r="J18" s="928">
        <v>379.66606820541818</v>
      </c>
      <c r="K18" s="928">
        <v>949.16517051354549</v>
      </c>
      <c r="L18" s="928">
        <v>537.8198670103834</v>
      </c>
      <c r="M18" s="928">
        <v>325.34516488348129</v>
      </c>
      <c r="N18" s="928">
        <v>863.16503189386469</v>
      </c>
      <c r="O18" s="928">
        <v>32.476534040975253</v>
      </c>
      <c r="P18" s="928">
        <v>56.712799551631008</v>
      </c>
      <c r="Q18" s="928">
        <v>89.18933359260626</v>
      </c>
    </row>
    <row r="19" spans="1:17" s="62" customFormat="1">
      <c r="A19" s="923">
        <v>7</v>
      </c>
      <c r="B19" s="931" t="s">
        <v>831</v>
      </c>
      <c r="C19" s="928">
        <v>168.81157620812391</v>
      </c>
      <c r="D19" s="928">
        <v>113.09173100208714</v>
      </c>
      <c r="E19" s="928">
        <v>281.90330721021104</v>
      </c>
      <c r="F19" s="928">
        <v>0.23600579857337081</v>
      </c>
      <c r="G19" s="928">
        <v>0.70801739572011224</v>
      </c>
      <c r="H19" s="928">
        <v>0.94402319429348303</v>
      </c>
      <c r="I19" s="928">
        <v>168.57557040955055</v>
      </c>
      <c r="J19" s="928">
        <v>112.38371360636704</v>
      </c>
      <c r="K19" s="928">
        <v>280.9592840159176</v>
      </c>
      <c r="L19" s="928">
        <v>159.19830337118015</v>
      </c>
      <c r="M19" s="928">
        <v>96.304360319339253</v>
      </c>
      <c r="N19" s="928">
        <v>255.5026636905194</v>
      </c>
      <c r="O19" s="928">
        <v>9.6132728369437643</v>
      </c>
      <c r="P19" s="928">
        <v>16.787370682747891</v>
      </c>
      <c r="Q19" s="928">
        <v>26.400643519691656</v>
      </c>
    </row>
    <row r="20" spans="1:17" s="62" customFormat="1">
      <c r="A20" s="923">
        <v>8</v>
      </c>
      <c r="B20" s="931" t="s">
        <v>832</v>
      </c>
      <c r="C20" s="928">
        <v>656.53704277633017</v>
      </c>
      <c r="D20" s="928">
        <v>439.83305115892495</v>
      </c>
      <c r="E20" s="928">
        <v>1096.3700939352552</v>
      </c>
      <c r="F20" s="928">
        <v>0.91786684630203952</v>
      </c>
      <c r="G20" s="928">
        <v>2.7536005389061184</v>
      </c>
      <c r="H20" s="928">
        <v>3.6714673852081581</v>
      </c>
      <c r="I20" s="928">
        <v>655.61917593002818</v>
      </c>
      <c r="J20" s="928">
        <v>437.0794506200188</v>
      </c>
      <c r="K20" s="928">
        <v>1092.698626550047</v>
      </c>
      <c r="L20" s="928">
        <v>619.14938334243072</v>
      </c>
      <c r="M20" s="928">
        <v>374.54410029661443</v>
      </c>
      <c r="N20" s="928">
        <v>993.6934836390451</v>
      </c>
      <c r="O20" s="928">
        <v>37.387659433899444</v>
      </c>
      <c r="P20" s="928">
        <v>65.288950862310514</v>
      </c>
      <c r="Q20" s="928">
        <v>102.67661029620996</v>
      </c>
    </row>
    <row r="21" spans="1:17" s="62" customFormat="1">
      <c r="A21" s="923">
        <v>9</v>
      </c>
      <c r="B21" s="931" t="s">
        <v>1080</v>
      </c>
      <c r="C21" s="928">
        <v>339.19683409608297</v>
      </c>
      <c r="D21" s="928">
        <v>227.23771663064261</v>
      </c>
      <c r="E21" s="928">
        <v>566.43455072672555</v>
      </c>
      <c r="F21" s="928">
        <v>0.47421167139456377</v>
      </c>
      <c r="G21" s="928">
        <v>1.4226350141836912</v>
      </c>
      <c r="H21" s="928">
        <v>1.8968466855782551</v>
      </c>
      <c r="I21" s="928">
        <v>338.72262242468838</v>
      </c>
      <c r="J21" s="928">
        <v>225.81508161645891</v>
      </c>
      <c r="K21" s="928">
        <v>564.53770404114732</v>
      </c>
      <c r="L21" s="928">
        <v>319.88067234439683</v>
      </c>
      <c r="M21" s="928">
        <v>193.50648139020376</v>
      </c>
      <c r="N21" s="928">
        <v>513.38715373460059</v>
      </c>
      <c r="O21" s="928">
        <v>19.316161751686138</v>
      </c>
      <c r="P21" s="928">
        <v>33.731235240438849</v>
      </c>
      <c r="Q21" s="928">
        <v>53.047396992124987</v>
      </c>
    </row>
    <row r="22" spans="1:17" s="62" customFormat="1">
      <c r="A22" s="923">
        <v>10</v>
      </c>
      <c r="B22" s="931" t="s">
        <v>834</v>
      </c>
      <c r="C22" s="928">
        <v>123.14542084151338</v>
      </c>
      <c r="D22" s="928">
        <v>82.498659871390004</v>
      </c>
      <c r="E22" s="928">
        <v>205.64408071290339</v>
      </c>
      <c r="F22" s="928">
        <v>0.17216256159189011</v>
      </c>
      <c r="G22" s="928">
        <v>0.51648768477567031</v>
      </c>
      <c r="H22" s="928">
        <v>0.68865024636756045</v>
      </c>
      <c r="I22" s="928">
        <v>122.9732582799215</v>
      </c>
      <c r="J22" s="928">
        <v>81.982172186614335</v>
      </c>
      <c r="K22" s="928">
        <v>204.95543046653583</v>
      </c>
      <c r="L22" s="928">
        <v>116.13268773540096</v>
      </c>
      <c r="M22" s="928">
        <v>70.252533900735216</v>
      </c>
      <c r="N22" s="928">
        <v>186.38522163613618</v>
      </c>
      <c r="O22" s="928">
        <v>7.012733106112421</v>
      </c>
      <c r="P22" s="928">
        <v>12.246125970654788</v>
      </c>
      <c r="Q22" s="928">
        <v>19.258859076767209</v>
      </c>
    </row>
    <row r="23" spans="1:17" s="62" customFormat="1">
      <c r="A23" s="923">
        <v>11</v>
      </c>
      <c r="B23" s="931" t="s">
        <v>835</v>
      </c>
      <c r="C23" s="928">
        <v>187.12051993052143</v>
      </c>
      <c r="D23" s="928">
        <v>125.35741908400486</v>
      </c>
      <c r="E23" s="928">
        <v>312.47793901452627</v>
      </c>
      <c r="F23" s="928">
        <v>0.26160248442453565</v>
      </c>
      <c r="G23" s="928">
        <v>0.7848074532736069</v>
      </c>
      <c r="H23" s="928">
        <v>1.0464099376981426</v>
      </c>
      <c r="I23" s="928">
        <v>186.85891744609688</v>
      </c>
      <c r="J23" s="928">
        <v>124.57261163073126</v>
      </c>
      <c r="K23" s="928">
        <v>311.43152907682816</v>
      </c>
      <c r="L23" s="928">
        <v>176.46461201301506</v>
      </c>
      <c r="M23" s="928">
        <v>106.74932596040657</v>
      </c>
      <c r="N23" s="928">
        <v>283.21393797342159</v>
      </c>
      <c r="O23" s="928">
        <v>10.655907917506369</v>
      </c>
      <c r="P23" s="928">
        <v>18.608093123598294</v>
      </c>
      <c r="Q23" s="928">
        <v>29.264001041104663</v>
      </c>
    </row>
    <row r="24" spans="1:17" s="62" customFormat="1">
      <c r="A24" s="923">
        <v>12</v>
      </c>
      <c r="B24" s="931" t="s">
        <v>836</v>
      </c>
      <c r="C24" s="928">
        <v>580.23308950046612</v>
      </c>
      <c r="D24" s="928">
        <v>388.71483786986158</v>
      </c>
      <c r="E24" s="928">
        <v>968.94792737032776</v>
      </c>
      <c r="F24" s="928">
        <v>0.81119065837892224</v>
      </c>
      <c r="G24" s="928">
        <v>2.4335719751367662</v>
      </c>
      <c r="H24" s="928">
        <v>3.2447626335156885</v>
      </c>
      <c r="I24" s="928">
        <v>579.42189884208722</v>
      </c>
      <c r="J24" s="928">
        <v>386.28126589472481</v>
      </c>
      <c r="K24" s="928">
        <v>965.70316473681203</v>
      </c>
      <c r="L24" s="928">
        <v>547.19069321649408</v>
      </c>
      <c r="M24" s="928">
        <v>331.01389001643111</v>
      </c>
      <c r="N24" s="928">
        <v>878.20458323292519</v>
      </c>
      <c r="O24" s="928">
        <v>33.042396283972039</v>
      </c>
      <c r="P24" s="928">
        <v>57.700947853430478</v>
      </c>
      <c r="Q24" s="928">
        <v>90.743344137402516</v>
      </c>
    </row>
    <row r="25" spans="1:17" s="62" customFormat="1">
      <c r="A25" s="923">
        <v>13</v>
      </c>
      <c r="B25" s="931" t="s">
        <v>837</v>
      </c>
      <c r="C25" s="928">
        <v>1135.174648936023</v>
      </c>
      <c r="D25" s="928">
        <v>760.486152203129</v>
      </c>
      <c r="E25" s="928">
        <v>1895.660801139152</v>
      </c>
      <c r="F25" s="928">
        <v>1.5870226767629643</v>
      </c>
      <c r="G25" s="928">
        <v>4.761068030288893</v>
      </c>
      <c r="H25" s="928">
        <v>6.3480907070518571</v>
      </c>
      <c r="I25" s="928">
        <v>1133.5876262592601</v>
      </c>
      <c r="J25" s="928">
        <v>755.72508417284007</v>
      </c>
      <c r="K25" s="928">
        <v>1889.3127104321002</v>
      </c>
      <c r="L25" s="928">
        <v>1070.5301271388341</v>
      </c>
      <c r="M25" s="928">
        <v>647.59935824385207</v>
      </c>
      <c r="N25" s="928">
        <v>1718.1294853826862</v>
      </c>
      <c r="O25" s="928">
        <v>64.644521797188872</v>
      </c>
      <c r="P25" s="928">
        <v>112.88679395927693</v>
      </c>
      <c r="Q25" s="928">
        <v>177.5313157564658</v>
      </c>
    </row>
    <row r="26" spans="1:17" s="62" customFormat="1">
      <c r="A26" s="923">
        <v>14</v>
      </c>
      <c r="B26" s="931" t="s">
        <v>838</v>
      </c>
      <c r="C26" s="928">
        <v>280.37409198068627</v>
      </c>
      <c r="D26" s="928">
        <v>187.8306695693793</v>
      </c>
      <c r="E26" s="928">
        <v>468.20476155006554</v>
      </c>
      <c r="F26" s="928">
        <v>0.39197496382360775</v>
      </c>
      <c r="G26" s="928">
        <v>1.1759248914708234</v>
      </c>
      <c r="H26" s="928">
        <v>1.567899855294431</v>
      </c>
      <c r="I26" s="928">
        <v>279.98211701686267</v>
      </c>
      <c r="J26" s="928">
        <v>186.65474467790847</v>
      </c>
      <c r="K26" s="928">
        <v>466.63686169477114</v>
      </c>
      <c r="L26" s="928">
        <v>264.40769498846981</v>
      </c>
      <c r="M26" s="928">
        <v>159.94902828835831</v>
      </c>
      <c r="N26" s="928">
        <v>424.35672327682812</v>
      </c>
      <c r="O26" s="928">
        <v>15.96639699221646</v>
      </c>
      <c r="P26" s="928">
        <v>27.88164128102099</v>
      </c>
      <c r="Q26" s="928">
        <v>43.848038273237449</v>
      </c>
    </row>
    <row r="27" spans="1:17" s="62" customFormat="1">
      <c r="A27" s="923">
        <v>15</v>
      </c>
      <c r="B27" s="931" t="s">
        <v>839</v>
      </c>
      <c r="C27" s="928">
        <v>182.76555153615942</v>
      </c>
      <c r="D27" s="928">
        <v>122.43990047988629</v>
      </c>
      <c r="E27" s="928">
        <v>305.20545201604568</v>
      </c>
      <c r="F27" s="928">
        <v>0.2555140524771552</v>
      </c>
      <c r="G27" s="928">
        <v>0.76654215743146548</v>
      </c>
      <c r="H27" s="928">
        <v>1.0220562099086208</v>
      </c>
      <c r="I27" s="928">
        <v>182.51003748368225</v>
      </c>
      <c r="J27" s="928">
        <v>121.67335832245483</v>
      </c>
      <c r="K27" s="928">
        <v>304.18339580613707</v>
      </c>
      <c r="L27" s="928">
        <v>172.35764497206529</v>
      </c>
      <c r="M27" s="928">
        <v>104.26488469843468</v>
      </c>
      <c r="N27" s="928">
        <v>276.62252967049994</v>
      </c>
      <c r="O27" s="928">
        <v>10.407906564094134</v>
      </c>
      <c r="P27" s="928">
        <v>18.175015781451606</v>
      </c>
      <c r="Q27" s="928">
        <v>28.58292234554574</v>
      </c>
    </row>
    <row r="28" spans="1:17" s="62" customFormat="1">
      <c r="A28" s="923">
        <v>16</v>
      </c>
      <c r="B28" s="931" t="s">
        <v>840</v>
      </c>
      <c r="C28" s="928">
        <v>162.56504086184182</v>
      </c>
      <c r="D28" s="928">
        <v>108.90699728331765</v>
      </c>
      <c r="E28" s="928">
        <v>271.47203814515944</v>
      </c>
      <c r="F28" s="928">
        <v>0.22727287518132475</v>
      </c>
      <c r="G28" s="928">
        <v>0.68181862554397421</v>
      </c>
      <c r="H28" s="928">
        <v>0.90909150072529898</v>
      </c>
      <c r="I28" s="928">
        <v>162.33776798666051</v>
      </c>
      <c r="J28" s="928">
        <v>108.22517865777368</v>
      </c>
      <c r="K28" s="928">
        <v>270.56294664443419</v>
      </c>
      <c r="L28" s="928">
        <v>153.30748799338755</v>
      </c>
      <c r="M28" s="928">
        <v>92.740809736799889</v>
      </c>
      <c r="N28" s="928">
        <v>246.04829773018744</v>
      </c>
      <c r="O28" s="928">
        <v>9.2575528684542689</v>
      </c>
      <c r="P28" s="928">
        <v>16.166187546517762</v>
      </c>
      <c r="Q28" s="928">
        <v>25.423740414972031</v>
      </c>
    </row>
    <row r="29" spans="1:17" s="62" customFormat="1">
      <c r="A29" s="923">
        <v>17</v>
      </c>
      <c r="B29" s="931" t="s">
        <v>841</v>
      </c>
      <c r="C29" s="928">
        <v>538.8302209625175</v>
      </c>
      <c r="D29" s="928">
        <v>360.97786522507243</v>
      </c>
      <c r="E29" s="928">
        <v>899.80808618758988</v>
      </c>
      <c r="F29" s="928">
        <v>0.75330767859748804</v>
      </c>
      <c r="G29" s="928">
        <v>2.2599230357924638</v>
      </c>
      <c r="H29" s="928">
        <v>3.0132307143899517</v>
      </c>
      <c r="I29" s="928">
        <v>538.07691328392002</v>
      </c>
      <c r="J29" s="928">
        <v>358.71794218928</v>
      </c>
      <c r="K29" s="928">
        <v>896.79485547319996</v>
      </c>
      <c r="L29" s="928">
        <v>508.14558402436597</v>
      </c>
      <c r="M29" s="928">
        <v>307.39420196247312</v>
      </c>
      <c r="N29" s="928">
        <v>815.53978598683909</v>
      </c>
      <c r="O29" s="928">
        <v>30.684636938151527</v>
      </c>
      <c r="P29" s="928">
        <v>53.583663262599316</v>
      </c>
      <c r="Q29" s="928">
        <v>84.268300200750843</v>
      </c>
    </row>
    <row r="30" spans="1:17" s="62" customFormat="1">
      <c r="A30" s="923">
        <v>18</v>
      </c>
      <c r="B30" s="931" t="s">
        <v>842</v>
      </c>
      <c r="C30" s="928">
        <v>285.32199034423365</v>
      </c>
      <c r="D30" s="928">
        <v>191.14540901631204</v>
      </c>
      <c r="E30" s="928">
        <v>476.4673993605457</v>
      </c>
      <c r="F30" s="928">
        <v>0.39889233720983341</v>
      </c>
      <c r="G30" s="928">
        <v>1.1966770116295</v>
      </c>
      <c r="H30" s="928">
        <v>1.5955693488393334</v>
      </c>
      <c r="I30" s="928">
        <v>284.92309800702384</v>
      </c>
      <c r="J30" s="928">
        <v>189.94873200468254</v>
      </c>
      <c r="K30" s="928">
        <v>474.87183001170638</v>
      </c>
      <c r="L30" s="928">
        <v>269.07382655612162</v>
      </c>
      <c r="M30" s="928">
        <v>162.77172681134982</v>
      </c>
      <c r="N30" s="928">
        <v>431.84555336747144</v>
      </c>
      <c r="O30" s="928">
        <v>16.248163788112038</v>
      </c>
      <c r="P30" s="928">
        <v>28.373682204962222</v>
      </c>
      <c r="Q30" s="928">
        <v>44.62184599307426</v>
      </c>
    </row>
    <row r="31" spans="1:17" s="15" customFormat="1" ht="14.25" customHeight="1">
      <c r="A31" s="923">
        <v>19</v>
      </c>
      <c r="B31" s="933" t="s">
        <v>843</v>
      </c>
      <c r="C31" s="928">
        <v>436.68269937457143</v>
      </c>
      <c r="D31" s="928">
        <v>292.54630209748439</v>
      </c>
      <c r="E31" s="928">
        <v>729.22900147205587</v>
      </c>
      <c r="F31" s="928">
        <v>0.61050107761573802</v>
      </c>
      <c r="G31" s="928">
        <v>1.8315032328472141</v>
      </c>
      <c r="H31" s="928">
        <v>2.4420043104629521</v>
      </c>
      <c r="I31" s="927">
        <v>436.07219829695566</v>
      </c>
      <c r="J31" s="928">
        <v>290.71479886463715</v>
      </c>
      <c r="K31" s="928">
        <v>726.78699716159281</v>
      </c>
      <c r="L31" s="927">
        <v>411.81503314838022</v>
      </c>
      <c r="M31" s="928">
        <v>249.1206407192268</v>
      </c>
      <c r="N31" s="928">
        <v>660.93567386760697</v>
      </c>
      <c r="O31" s="928">
        <v>24.867666226191204</v>
      </c>
      <c r="P31" s="928">
        <v>43.425661378257587</v>
      </c>
      <c r="Q31" s="928">
        <v>68.293327604448791</v>
      </c>
    </row>
    <row r="32" spans="1:17" s="15" customFormat="1" ht="15.75" customHeight="1">
      <c r="A32" s="923">
        <v>20</v>
      </c>
      <c r="B32" s="933" t="s">
        <v>844</v>
      </c>
      <c r="C32" s="928">
        <v>516.68735349259271</v>
      </c>
      <c r="D32" s="928">
        <v>346.14372133652626</v>
      </c>
      <c r="E32" s="928">
        <v>862.83107482911896</v>
      </c>
      <c r="F32" s="928">
        <v>0.72235100348475134</v>
      </c>
      <c r="G32" s="928">
        <v>2.1670530104542536</v>
      </c>
      <c r="H32" s="928">
        <v>2.8894040139390049</v>
      </c>
      <c r="I32" s="927">
        <v>515.96500248910797</v>
      </c>
      <c r="J32" s="928">
        <v>343.976668326072</v>
      </c>
      <c r="K32" s="928">
        <v>859.94167081518003</v>
      </c>
      <c r="L32" s="927">
        <v>487.26368118235399</v>
      </c>
      <c r="M32" s="928">
        <v>294.76204286991197</v>
      </c>
      <c r="N32" s="928">
        <v>782.02572405226601</v>
      </c>
      <c r="O32" s="928">
        <v>29.423672310238715</v>
      </c>
      <c r="P32" s="928">
        <v>51.381678466614289</v>
      </c>
      <c r="Q32" s="928">
        <v>80.805350776853004</v>
      </c>
    </row>
    <row r="33" spans="1:17" s="15" customFormat="1" ht="15.75" customHeight="1">
      <c r="A33" s="923">
        <v>21</v>
      </c>
      <c r="B33" s="933" t="s">
        <v>845</v>
      </c>
      <c r="C33" s="928">
        <v>488.10403980565331</v>
      </c>
      <c r="D33" s="928">
        <v>326.99493725879029</v>
      </c>
      <c r="E33" s="928">
        <v>815.0989770644436</v>
      </c>
      <c r="F33" s="928">
        <v>0.68239030929490185</v>
      </c>
      <c r="G33" s="928">
        <v>2.0471709278847054</v>
      </c>
      <c r="H33" s="928">
        <v>2.7295612371796074</v>
      </c>
      <c r="I33" s="927">
        <v>487.42164949635844</v>
      </c>
      <c r="J33" s="928">
        <v>324.94776633090561</v>
      </c>
      <c r="K33" s="928">
        <v>812.36941582726399</v>
      </c>
      <c r="L33" s="927">
        <v>460.30809468823304</v>
      </c>
      <c r="M33" s="928">
        <v>278.4557100800684</v>
      </c>
      <c r="N33" s="928">
        <v>738.7638047683015</v>
      </c>
      <c r="O33" s="928">
        <v>27.795945117420274</v>
      </c>
      <c r="P33" s="928">
        <v>48.539227178721887</v>
      </c>
      <c r="Q33" s="928">
        <v>76.335172296142161</v>
      </c>
    </row>
    <row r="34" spans="1:17" s="15" customFormat="1" ht="12.75" customHeight="1">
      <c r="A34" s="923">
        <v>22</v>
      </c>
      <c r="B34" s="933" t="s">
        <v>846</v>
      </c>
      <c r="C34" s="928">
        <v>285.1584234561825</v>
      </c>
      <c r="D34" s="928">
        <v>191.03583085277708</v>
      </c>
      <c r="E34" s="928">
        <v>476.19425430895956</v>
      </c>
      <c r="F34" s="928">
        <v>0.39866366370946232</v>
      </c>
      <c r="G34" s="928">
        <v>1.1959909911283868</v>
      </c>
      <c r="H34" s="928">
        <v>1.5946546548378491</v>
      </c>
      <c r="I34" s="927">
        <v>284.75975979247306</v>
      </c>
      <c r="J34" s="928">
        <v>189.8398398616487</v>
      </c>
      <c r="K34" s="928">
        <v>474.59959965412179</v>
      </c>
      <c r="L34" s="927">
        <v>268.91957427289344</v>
      </c>
      <c r="M34" s="928">
        <v>162.67841446348234</v>
      </c>
      <c r="N34" s="928">
        <v>431.59798873637578</v>
      </c>
      <c r="O34" s="928">
        <v>16.238849183289062</v>
      </c>
      <c r="P34" s="928">
        <v>28.357416389294741</v>
      </c>
      <c r="Q34" s="928">
        <v>44.596265572583803</v>
      </c>
    </row>
    <row r="35" spans="1:17" s="15" customFormat="1" ht="12.75" customHeight="1">
      <c r="A35" s="923">
        <v>23</v>
      </c>
      <c r="B35" s="933" t="s">
        <v>847</v>
      </c>
      <c r="C35" s="928">
        <v>683.17799966766199</v>
      </c>
      <c r="D35" s="928">
        <v>457.68059454468295</v>
      </c>
      <c r="E35" s="928">
        <v>1140.858594212345</v>
      </c>
      <c r="F35" s="928">
        <v>0.95511204267498195</v>
      </c>
      <c r="G35" s="928">
        <v>2.8653361280249454</v>
      </c>
      <c r="H35" s="928">
        <v>3.8204481706999274</v>
      </c>
      <c r="I35" s="927">
        <v>682.22288762498704</v>
      </c>
      <c r="J35" s="928">
        <v>454.81525841665803</v>
      </c>
      <c r="K35" s="928">
        <v>1137.0381460416452</v>
      </c>
      <c r="L35" s="927">
        <v>644.27322397321734</v>
      </c>
      <c r="M35" s="928">
        <v>389.74234895553155</v>
      </c>
      <c r="N35" s="928">
        <v>1034.015572928749</v>
      </c>
      <c r="O35" s="928">
        <v>38.904775694444652</v>
      </c>
      <c r="P35" s="928">
        <v>67.938245589151393</v>
      </c>
      <c r="Q35" s="928">
        <v>106.84302128359604</v>
      </c>
    </row>
    <row r="36" spans="1:17" s="15" customFormat="1">
      <c r="A36" s="923">
        <v>24</v>
      </c>
      <c r="B36" s="933" t="s">
        <v>848</v>
      </c>
      <c r="C36" s="928">
        <v>669.19695085643752</v>
      </c>
      <c r="D36" s="928">
        <v>448.44863426686175</v>
      </c>
      <c r="E36" s="928">
        <v>1117.6455851232993</v>
      </c>
      <c r="F36" s="928">
        <v>0.73530780735399182</v>
      </c>
      <c r="G36" s="928">
        <v>2.8075389008061502</v>
      </c>
      <c r="H36" s="928">
        <v>3.542846708160142</v>
      </c>
      <c r="I36" s="927">
        <v>668.46164304908348</v>
      </c>
      <c r="J36" s="928">
        <v>445.64109536605559</v>
      </c>
      <c r="K36" s="928">
        <v>1114.1027384151391</v>
      </c>
      <c r="L36" s="927">
        <v>631.27746911124484</v>
      </c>
      <c r="M36" s="928">
        <v>381.88078364769569</v>
      </c>
      <c r="N36" s="928">
        <v>1013.1582527589405</v>
      </c>
      <c r="O36" s="928">
        <v>37.919481745192684</v>
      </c>
      <c r="P36" s="928">
        <v>66.567850619166052</v>
      </c>
      <c r="Q36" s="928">
        <v>104.48733236435874</v>
      </c>
    </row>
    <row r="37" spans="1:17" s="15" customFormat="1">
      <c r="A37" s="923">
        <v>25</v>
      </c>
      <c r="B37" s="933" t="s">
        <v>849</v>
      </c>
      <c r="C37" s="928">
        <v>212.14476742459576</v>
      </c>
      <c r="D37" s="928">
        <v>142.15027264573894</v>
      </c>
      <c r="E37" s="928">
        <v>354.29504007033472</v>
      </c>
      <c r="F37" s="928">
        <v>0.25426859859120543</v>
      </c>
      <c r="G37" s="928">
        <v>0.88994009506921923</v>
      </c>
      <c r="H37" s="928">
        <v>1.1442086936604245</v>
      </c>
      <c r="I37" s="927">
        <v>211.89049882600455</v>
      </c>
      <c r="J37" s="928">
        <v>141.26033255066972</v>
      </c>
      <c r="K37" s="928">
        <v>353.15083137667426</v>
      </c>
      <c r="L37" s="927">
        <v>200.10377441773059</v>
      </c>
      <c r="M37" s="928">
        <v>121.04944327109915</v>
      </c>
      <c r="N37" s="928">
        <v>321.15321768882973</v>
      </c>
      <c r="O37" s="928">
        <v>12.040993006865165</v>
      </c>
      <c r="P37" s="928">
        <v>21.100829374639787</v>
      </c>
      <c r="Q37" s="928">
        <v>33.141822381504952</v>
      </c>
    </row>
    <row r="38" spans="1:17" s="15" customFormat="1">
      <c r="A38" s="923">
        <v>26</v>
      </c>
      <c r="B38" s="933" t="s">
        <v>850</v>
      </c>
      <c r="C38" s="928">
        <v>226.68326097789458</v>
      </c>
      <c r="D38" s="928">
        <v>151.86163738902556</v>
      </c>
      <c r="E38" s="928">
        <v>378.54489836692017</v>
      </c>
      <c r="F38" s="928">
        <v>0.3169128873267949</v>
      </c>
      <c r="G38" s="928">
        <v>0.95073866198038459</v>
      </c>
      <c r="H38" s="928">
        <v>1.2676515493071796</v>
      </c>
      <c r="I38" s="927">
        <v>226.36634809056778</v>
      </c>
      <c r="J38" s="928">
        <v>150.91089872704518</v>
      </c>
      <c r="K38" s="928">
        <v>377.27724681761299</v>
      </c>
      <c r="L38" s="927">
        <v>213.77438301882623</v>
      </c>
      <c r="M38" s="928">
        <v>129.31925010085527</v>
      </c>
      <c r="N38" s="928">
        <v>343.0936331196815</v>
      </c>
      <c r="O38" s="928">
        <v>12.908877959068349</v>
      </c>
      <c r="P38" s="928">
        <v>22.542387288170289</v>
      </c>
      <c r="Q38" s="928">
        <v>35.451265247238638</v>
      </c>
    </row>
    <row r="39" spans="1:17" s="15" customFormat="1">
      <c r="A39" s="923">
        <v>27</v>
      </c>
      <c r="B39" s="933" t="s">
        <v>851</v>
      </c>
      <c r="C39" s="928">
        <v>221.67402503132794</v>
      </c>
      <c r="D39" s="928">
        <v>148.50580613076716</v>
      </c>
      <c r="E39" s="928">
        <v>370.17983116209507</v>
      </c>
      <c r="F39" s="928">
        <v>0.30990976137793003</v>
      </c>
      <c r="G39" s="928">
        <v>0.92972928413379008</v>
      </c>
      <c r="H39" s="928">
        <v>1.2396390455117201</v>
      </c>
      <c r="I39" s="927">
        <v>221.36411526995002</v>
      </c>
      <c r="J39" s="928">
        <v>147.57607684663336</v>
      </c>
      <c r="K39" s="928">
        <v>368.94019211658338</v>
      </c>
      <c r="L39" s="927">
        <v>209.05040684496385</v>
      </c>
      <c r="M39" s="928">
        <v>126.46155944741344</v>
      </c>
      <c r="N39" s="928">
        <v>335.51196629237728</v>
      </c>
      <c r="O39" s="928">
        <v>12.623618186364098</v>
      </c>
      <c r="P39" s="928">
        <v>22.04424668335372</v>
      </c>
      <c r="Q39" s="928">
        <v>34.667864869717818</v>
      </c>
    </row>
    <row r="40" spans="1:17" s="15" customFormat="1">
      <c r="A40" s="923">
        <v>28</v>
      </c>
      <c r="B40" s="933" t="s">
        <v>852</v>
      </c>
      <c r="C40" s="928">
        <v>244.30759316540659</v>
      </c>
      <c r="D40" s="928">
        <v>163.66868450991856</v>
      </c>
      <c r="E40" s="928">
        <v>407.97627767532515</v>
      </c>
      <c r="F40" s="928">
        <v>0.34155245699178072</v>
      </c>
      <c r="G40" s="928">
        <v>1.0246573709753424</v>
      </c>
      <c r="H40" s="928">
        <v>1.3662098279671231</v>
      </c>
      <c r="I40" s="927">
        <v>243.96604070841479</v>
      </c>
      <c r="J40" s="928">
        <v>162.64402713894322</v>
      </c>
      <c r="K40" s="928">
        <v>406.61006784735798</v>
      </c>
      <c r="L40" s="927">
        <v>230.39506653666052</v>
      </c>
      <c r="M40" s="928">
        <v>139.37365558357718</v>
      </c>
      <c r="N40" s="928">
        <v>369.76872212023773</v>
      </c>
      <c r="O40" s="928">
        <v>13.912526628746065</v>
      </c>
      <c r="P40" s="928">
        <v>24.295028926341388</v>
      </c>
      <c r="Q40" s="928">
        <v>38.207555555087453</v>
      </c>
    </row>
    <row r="41" spans="1:17" s="15" customFormat="1">
      <c r="A41" s="923">
        <v>29</v>
      </c>
      <c r="B41" s="933" t="s">
        <v>853</v>
      </c>
      <c r="C41" s="928">
        <v>138.76605865039869</v>
      </c>
      <c r="D41" s="928">
        <v>92.963374488979568</v>
      </c>
      <c r="E41" s="928">
        <v>231.72943313937827</v>
      </c>
      <c r="F41" s="928">
        <v>0.19400088087732992</v>
      </c>
      <c r="G41" s="928">
        <v>0.58200264263198975</v>
      </c>
      <c r="H41" s="928">
        <v>0.77600352350931967</v>
      </c>
      <c r="I41" s="927">
        <v>138.57205776952136</v>
      </c>
      <c r="J41" s="928">
        <v>92.381371846347577</v>
      </c>
      <c r="K41" s="928">
        <v>230.95342961586894</v>
      </c>
      <c r="L41" s="927">
        <v>130.86378078369023</v>
      </c>
      <c r="M41" s="928">
        <v>79.163863122080343</v>
      </c>
      <c r="N41" s="928">
        <v>210.02764390577056</v>
      </c>
      <c r="O41" s="928">
        <v>7.9022778667084594</v>
      </c>
      <c r="P41" s="928">
        <v>13.799511366899225</v>
      </c>
      <c r="Q41" s="928">
        <v>21.701789233607684</v>
      </c>
    </row>
    <row r="42" spans="1:17" s="15" customFormat="1">
      <c r="A42" s="923">
        <v>30</v>
      </c>
      <c r="B42" s="933" t="s">
        <v>854</v>
      </c>
      <c r="C42" s="928">
        <v>153.79376649009859</v>
      </c>
      <c r="D42" s="928">
        <v>103.03086826375488</v>
      </c>
      <c r="E42" s="928">
        <v>256.8246347538535</v>
      </c>
      <c r="F42" s="928">
        <v>0.21501025872392454</v>
      </c>
      <c r="G42" s="928">
        <v>0.64503077617177351</v>
      </c>
      <c r="H42" s="928">
        <v>0.86004103489569805</v>
      </c>
      <c r="I42" s="927">
        <v>153.57875623137465</v>
      </c>
      <c r="J42" s="928">
        <v>102.3858374875831</v>
      </c>
      <c r="K42" s="928">
        <v>255.96459371895776</v>
      </c>
      <c r="L42" s="927">
        <v>145.03570930527744</v>
      </c>
      <c r="M42" s="928">
        <v>87.736935082405836</v>
      </c>
      <c r="N42" s="928">
        <v>232.77264438768327</v>
      </c>
      <c r="O42" s="928">
        <v>8.7580571848211548</v>
      </c>
      <c r="P42" s="928">
        <v>15.293933181349047</v>
      </c>
      <c r="Q42" s="928">
        <v>24.051990366170202</v>
      </c>
    </row>
    <row r="43" spans="1:17" s="15" customFormat="1">
      <c r="A43" s="923">
        <v>31</v>
      </c>
      <c r="B43" s="933" t="s">
        <v>855</v>
      </c>
      <c r="C43" s="928">
        <v>292.80517547257409</v>
      </c>
      <c r="D43" s="928">
        <v>196.18054754848151</v>
      </c>
      <c r="E43" s="928">
        <v>488.98572302105561</v>
      </c>
      <c r="F43" s="928">
        <v>0.40935414985181118</v>
      </c>
      <c r="G43" s="928">
        <v>1.25</v>
      </c>
      <c r="H43" s="928">
        <v>1.6593541498518112</v>
      </c>
      <c r="I43" s="927">
        <v>292.39582132272227</v>
      </c>
      <c r="J43" s="928">
        <v>194.93054754848151</v>
      </c>
      <c r="K43" s="928">
        <v>487.32636887120378</v>
      </c>
      <c r="L43" s="927">
        <v>276.13086851380996</v>
      </c>
      <c r="M43" s="928">
        <v>167.04076672628744</v>
      </c>
      <c r="N43" s="928">
        <v>443.17163524009743</v>
      </c>
      <c r="O43" s="928">
        <v>16.674306958764134</v>
      </c>
      <c r="P43" s="928">
        <v>29.139780822194069</v>
      </c>
      <c r="Q43" s="928">
        <v>45.814087780958204</v>
      </c>
    </row>
    <row r="44" spans="1:17" s="15" customFormat="1">
      <c r="A44" s="923">
        <v>32</v>
      </c>
      <c r="B44" s="933" t="s">
        <v>856</v>
      </c>
      <c r="C44" s="928">
        <v>504.70607894284547</v>
      </c>
      <c r="D44" s="928">
        <v>338.11712085758961</v>
      </c>
      <c r="E44" s="928">
        <v>842.82319980043508</v>
      </c>
      <c r="F44" s="928">
        <v>0.70560066958256806</v>
      </c>
      <c r="G44" s="928">
        <v>2.1168020087477042</v>
      </c>
      <c r="H44" s="928">
        <v>2.8224026783302723</v>
      </c>
      <c r="I44" s="927">
        <v>504.0004782732629</v>
      </c>
      <c r="J44" s="928">
        <v>336.00031884884191</v>
      </c>
      <c r="K44" s="928">
        <v>840.00079712210481</v>
      </c>
      <c r="L44" s="927">
        <v>475.96470143589119</v>
      </c>
      <c r="M44" s="928">
        <v>287.9269133886184</v>
      </c>
      <c r="N44" s="928">
        <v>763.89161482450959</v>
      </c>
      <c r="O44" s="928">
        <v>28.741377506954279</v>
      </c>
      <c r="P44" s="928">
        <v>50.190207468971209</v>
      </c>
      <c r="Q44" s="928">
        <v>78.931584975925489</v>
      </c>
    </row>
    <row r="45" spans="1:17" s="15" customFormat="1">
      <c r="A45" s="923">
        <v>33</v>
      </c>
      <c r="B45" s="933" t="s">
        <v>857</v>
      </c>
      <c r="C45" s="928">
        <v>166.81382949857456</v>
      </c>
      <c r="D45" s="928">
        <v>112.19255299904972</v>
      </c>
      <c r="E45" s="928">
        <v>279.00638249762426</v>
      </c>
      <c r="F45" s="928">
        <v>0.16</v>
      </c>
      <c r="G45" s="928">
        <v>1.0900000000000001</v>
      </c>
      <c r="H45" s="928">
        <v>1.25</v>
      </c>
      <c r="I45" s="927">
        <v>166.65382949857457</v>
      </c>
      <c r="J45" s="928">
        <v>111.10255299904972</v>
      </c>
      <c r="K45" s="928">
        <v>277.75638249762426</v>
      </c>
      <c r="L45" s="927">
        <v>156.41770509149435</v>
      </c>
      <c r="M45" s="928">
        <v>94.62228373334797</v>
      </c>
      <c r="N45" s="928">
        <v>251.03998882484234</v>
      </c>
      <c r="O45" s="928">
        <v>10.396124407080208</v>
      </c>
      <c r="P45" s="928">
        <v>17.570269265701754</v>
      </c>
      <c r="Q45" s="928">
        <v>27.966393672781962</v>
      </c>
    </row>
    <row r="46" spans="1:17">
      <c r="A46" s="911"/>
      <c r="B46" s="911" t="s">
        <v>18</v>
      </c>
      <c r="C46" s="929">
        <f>SUM(C13:C45)</f>
        <v>13868.522398145557</v>
      </c>
      <c r="D46" s="929">
        <f t="shared" ref="D46:Q46" si="0">SUM(D13:D45)</f>
        <v>9291.6664997305234</v>
      </c>
      <c r="E46" s="929">
        <f t="shared" si="0"/>
        <v>23160.188897876084</v>
      </c>
      <c r="F46" s="929">
        <f t="shared" si="0"/>
        <v>18.893299073752001</v>
      </c>
      <c r="G46" s="929">
        <f t="shared" si="0"/>
        <v>58.580433682652128</v>
      </c>
      <c r="H46" s="929">
        <f t="shared" si="0"/>
        <v>77.473732756404146</v>
      </c>
      <c r="I46" s="929">
        <f t="shared" si="0"/>
        <v>13849.629099071804</v>
      </c>
      <c r="J46" s="929">
        <f t="shared" si="0"/>
        <v>9233.086066047872</v>
      </c>
      <c r="K46" s="929">
        <f t="shared" si="0"/>
        <v>23082.715165119673</v>
      </c>
      <c r="L46" s="929">
        <f t="shared" si="0"/>
        <v>13078.257107406598</v>
      </c>
      <c r="M46" s="929">
        <f t="shared" si="0"/>
        <v>7911.6636661738294</v>
      </c>
      <c r="N46" s="929">
        <f>SUM(N13:N45)</f>
        <v>20989.920773580427</v>
      </c>
      <c r="O46" s="929">
        <f t="shared" si="0"/>
        <v>790.26529073895813</v>
      </c>
      <c r="P46" s="929">
        <f t="shared" si="0"/>
        <v>1380.002833556691</v>
      </c>
      <c r="Q46" s="929">
        <f t="shared" si="0"/>
        <v>2170.2681242956492</v>
      </c>
    </row>
    <row r="47" spans="1:17">
      <c r="A47" s="913"/>
      <c r="B47" s="919"/>
      <c r="C47" s="919"/>
      <c r="D47" s="919"/>
      <c r="E47" s="916"/>
      <c r="F47" s="930"/>
      <c r="G47" s="930"/>
      <c r="H47" s="930"/>
      <c r="I47" s="930"/>
      <c r="J47" s="930"/>
      <c r="K47" s="930"/>
      <c r="L47" s="916"/>
      <c r="M47" s="930"/>
      <c r="N47" s="916"/>
      <c r="O47" s="932"/>
      <c r="P47" s="916"/>
      <c r="Q47" s="916"/>
    </row>
    <row r="48" spans="1:17" ht="12.75" customHeight="1">
      <c r="A48" s="1250" t="s">
        <v>733</v>
      </c>
      <c r="B48" s="1250"/>
      <c r="C48" s="1250"/>
      <c r="D48" s="1250"/>
      <c r="E48" s="1250"/>
      <c r="F48" s="1250"/>
      <c r="G48" s="1250"/>
      <c r="H48" s="1250"/>
      <c r="I48" s="1250"/>
      <c r="J48" s="1250"/>
      <c r="K48" s="1250"/>
      <c r="L48" s="1250"/>
      <c r="M48" s="1250"/>
      <c r="N48" s="1250"/>
      <c r="O48" s="1250"/>
      <c r="P48" s="1250"/>
      <c r="Q48" s="1250"/>
    </row>
    <row r="49" spans="1:17" s="994" customFormat="1" ht="15.75" customHeight="1">
      <c r="A49" s="15" t="s">
        <v>12</v>
      </c>
      <c r="B49" s="15"/>
      <c r="C49" s="15"/>
      <c r="D49" s="15"/>
      <c r="E49" s="15"/>
      <c r="F49" s="15"/>
      <c r="G49" s="15"/>
      <c r="I49" s="1202"/>
      <c r="J49" s="1202"/>
    </row>
    <row r="50" spans="1:17" s="994" customFormat="1" ht="15.6" customHeight="1">
      <c r="M50" s="998"/>
      <c r="N50" s="998"/>
      <c r="O50" s="1040" t="s">
        <v>1106</v>
      </c>
      <c r="P50" s="1040"/>
      <c r="Q50" s="1040"/>
    </row>
    <row r="51" spans="1:17" s="994" customFormat="1" ht="15.6" customHeight="1">
      <c r="M51" s="998"/>
      <c r="N51" s="998"/>
      <c r="O51" s="1040" t="s">
        <v>481</v>
      </c>
      <c r="P51" s="1040"/>
      <c r="Q51" s="1040"/>
    </row>
    <row r="52" spans="1:17" s="994" customFormat="1" ht="15.6" customHeight="1">
      <c r="M52" s="998"/>
      <c r="N52" s="998"/>
      <c r="O52" s="1040" t="s">
        <v>1107</v>
      </c>
      <c r="P52" s="1040"/>
      <c r="Q52" s="1040"/>
    </row>
    <row r="53" spans="1:17">
      <c r="A53" s="915"/>
      <c r="B53" s="915"/>
      <c r="C53" s="915"/>
      <c r="D53" s="915"/>
      <c r="E53" s="915"/>
      <c r="F53" s="915"/>
      <c r="G53" s="915"/>
      <c r="H53" s="915"/>
      <c r="I53" s="926"/>
      <c r="J53" s="926"/>
      <c r="K53" s="915"/>
      <c r="L53" s="926"/>
      <c r="M53" s="926"/>
      <c r="N53" s="910"/>
      <c r="O53" s="1261"/>
      <c r="P53" s="1261"/>
      <c r="Q53" s="1261"/>
    </row>
    <row r="54" spans="1:17">
      <c r="A54" s="910"/>
      <c r="B54" s="910"/>
      <c r="C54" s="910"/>
      <c r="D54" s="925"/>
      <c r="E54" s="910"/>
      <c r="F54" s="910"/>
      <c r="G54" s="910"/>
      <c r="H54" s="910"/>
      <c r="I54" s="910"/>
      <c r="J54" s="910"/>
      <c r="K54" s="910"/>
      <c r="L54" s="925"/>
      <c r="M54" s="910"/>
      <c r="N54" s="925"/>
      <c r="O54" s="925"/>
      <c r="P54" s="910"/>
      <c r="Q54" s="910"/>
    </row>
    <row r="55" spans="1:17">
      <c r="A55" s="910"/>
      <c r="B55" s="910"/>
      <c r="C55" s="910"/>
      <c r="D55" s="910"/>
      <c r="E55" s="910"/>
      <c r="F55" s="910"/>
      <c r="G55" s="910"/>
      <c r="H55" s="910"/>
      <c r="I55" s="910"/>
      <c r="J55" s="910"/>
      <c r="K55" s="910"/>
      <c r="L55" s="925"/>
      <c r="M55" s="910"/>
      <c r="N55" s="910"/>
      <c r="O55" s="910"/>
      <c r="P55" s="910"/>
      <c r="Q55" s="910"/>
    </row>
    <row r="56" spans="1:17">
      <c r="A56" s="910"/>
      <c r="B56" s="910"/>
      <c r="C56" s="910"/>
      <c r="D56" s="910"/>
      <c r="E56" s="910"/>
      <c r="F56" s="910"/>
      <c r="G56" s="910"/>
      <c r="H56" s="910"/>
      <c r="I56" s="910"/>
      <c r="J56" s="910"/>
      <c r="K56" s="910"/>
      <c r="L56" s="925"/>
      <c r="M56" s="910"/>
      <c r="N56" s="925"/>
      <c r="O56" s="910"/>
      <c r="P56" s="910"/>
      <c r="Q56" s="910"/>
    </row>
    <row r="57" spans="1:17">
      <c r="A57" s="910"/>
      <c r="B57" s="910"/>
      <c r="C57" s="910"/>
      <c r="D57" s="910"/>
      <c r="E57" s="910"/>
      <c r="F57" s="910"/>
      <c r="G57" s="910"/>
      <c r="H57" s="910"/>
      <c r="I57" s="910"/>
      <c r="J57" s="910"/>
      <c r="K57" s="910"/>
      <c r="L57" s="925"/>
      <c r="M57" s="925"/>
      <c r="N57" s="925"/>
      <c r="O57" s="925"/>
      <c r="P57" s="925"/>
      <c r="Q57" s="910"/>
    </row>
    <row r="58" spans="1:17">
      <c r="A58" s="910"/>
      <c r="B58" s="910"/>
      <c r="C58" s="910"/>
      <c r="D58" s="910"/>
      <c r="E58" s="910"/>
      <c r="F58" s="910"/>
      <c r="G58" s="910"/>
      <c r="H58" s="910"/>
      <c r="I58" s="910"/>
      <c r="J58" s="910"/>
      <c r="K58" s="910"/>
      <c r="L58" s="910"/>
      <c r="M58" s="925"/>
      <c r="N58" s="925"/>
      <c r="O58" s="910"/>
      <c r="P58" s="925"/>
      <c r="Q58" s="910"/>
    </row>
    <row r="59" spans="1:17">
      <c r="A59" s="910"/>
      <c r="B59" s="910"/>
      <c r="C59" s="910"/>
      <c r="D59" s="910"/>
      <c r="E59" s="910"/>
      <c r="F59" s="910"/>
      <c r="G59" s="910"/>
      <c r="H59" s="910"/>
      <c r="I59" s="910"/>
      <c r="J59" s="910"/>
      <c r="K59" s="910"/>
      <c r="L59" s="910"/>
      <c r="M59" s="925"/>
      <c r="N59" s="910"/>
      <c r="O59" s="910"/>
      <c r="P59" s="910"/>
      <c r="Q59" s="910"/>
    </row>
    <row r="60" spans="1:17">
      <c r="A60" s="828"/>
      <c r="B60" s="828"/>
      <c r="C60" s="828"/>
      <c r="D60" s="828"/>
      <c r="E60" s="828"/>
      <c r="F60" s="828"/>
      <c r="G60" s="828"/>
      <c r="H60" s="828"/>
      <c r="I60" s="828"/>
      <c r="J60" s="828"/>
      <c r="K60" s="828"/>
      <c r="L60" s="828"/>
      <c r="M60" s="828"/>
      <c r="N60" s="828"/>
      <c r="O60" s="828"/>
      <c r="P60" s="828"/>
      <c r="Q60" s="828"/>
    </row>
    <row r="61" spans="1:17">
      <c r="A61" s="910"/>
      <c r="B61" s="910"/>
      <c r="C61" s="910"/>
      <c r="D61" s="910"/>
      <c r="E61" s="910"/>
      <c r="F61" s="910"/>
      <c r="G61" s="910"/>
      <c r="H61" s="910"/>
      <c r="I61" s="910"/>
      <c r="J61" s="910"/>
      <c r="K61" s="910"/>
      <c r="L61" s="910"/>
      <c r="M61" s="925"/>
      <c r="N61" s="910"/>
      <c r="O61" s="910"/>
      <c r="P61" s="910"/>
      <c r="Q61" s="910"/>
    </row>
  </sheetData>
  <mergeCells count="19">
    <mergeCell ref="A8:B8"/>
    <mergeCell ref="P1:Q1"/>
    <mergeCell ref="A2:Q2"/>
    <mergeCell ref="A3:Q3"/>
    <mergeCell ref="N9:Q9"/>
    <mergeCell ref="D6:O6"/>
    <mergeCell ref="I10:K10"/>
    <mergeCell ref="L10:N10"/>
    <mergeCell ref="O10:Q10"/>
    <mergeCell ref="A10:A11"/>
    <mergeCell ref="B10:B11"/>
    <mergeCell ref="C10:E10"/>
    <mergeCell ref="F10:H10"/>
    <mergeCell ref="A48:Q48"/>
    <mergeCell ref="O53:Q53"/>
    <mergeCell ref="I49:J49"/>
    <mergeCell ref="O50:Q50"/>
    <mergeCell ref="O51:Q51"/>
    <mergeCell ref="O52:Q52"/>
  </mergeCells>
  <phoneticPr fontId="0" type="noConversion"/>
  <printOptions horizontalCentered="1"/>
  <pageMargins left="0.70866141732283472" right="0.70866141732283472" top="0.63" bottom="0" header="0.79" footer="0.31496062992125984"/>
  <pageSetup paperSize="9" scale="79"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AB55"/>
  <sheetViews>
    <sheetView topLeftCell="A42" zoomScale="80" zoomScaleNormal="80" zoomScaleSheetLayoutView="77" workbookViewId="0">
      <selection activeCell="E13" sqref="E13"/>
    </sheetView>
  </sheetViews>
  <sheetFormatPr defaultRowHeight="12.75"/>
  <cols>
    <col min="2" max="2" width="19.42578125" bestFit="1" customWidth="1"/>
    <col min="3" max="3" width="12.85546875" customWidth="1"/>
    <col min="4" max="4" width="11.7109375" customWidth="1"/>
    <col min="5" max="5" width="12.42578125" customWidth="1"/>
    <col min="6" max="6" width="12" customWidth="1"/>
    <col min="7" max="7" width="13.140625" customWidth="1"/>
    <col min="8" max="10" width="9.42578125" bestFit="1" customWidth="1"/>
    <col min="11" max="11" width="13.5703125" bestFit="1" customWidth="1"/>
    <col min="12" max="16" width="11.42578125" bestFit="1" customWidth="1"/>
    <col min="17" max="19" width="9.85546875" bestFit="1" customWidth="1"/>
    <col min="20" max="20" width="10.42578125" customWidth="1"/>
    <col min="21" max="21" width="11.140625" customWidth="1"/>
    <col min="22" max="22" width="11.85546875" customWidth="1"/>
    <col min="23" max="24" width="0" hidden="1" customWidth="1"/>
    <col min="25" max="25" width="9.85546875" hidden="1" customWidth="1"/>
    <col min="26" max="26" width="0" hidden="1" customWidth="1"/>
    <col min="27" max="27" width="9.85546875" hidden="1" customWidth="1"/>
    <col min="28" max="28" width="0" hidden="1" customWidth="1"/>
  </cols>
  <sheetData>
    <row r="1" spans="1:28" ht="15">
      <c r="Q1" s="1272" t="s">
        <v>65</v>
      </c>
      <c r="R1" s="1272"/>
      <c r="S1" s="1272"/>
    </row>
    <row r="3" spans="1:28" ht="15">
      <c r="A3" s="1190" t="s">
        <v>0</v>
      </c>
      <c r="B3" s="1190"/>
      <c r="C3" s="1190"/>
      <c r="D3" s="1190"/>
      <c r="E3" s="1190"/>
      <c r="F3" s="1190"/>
      <c r="G3" s="1190"/>
      <c r="H3" s="1190"/>
      <c r="I3" s="1190"/>
      <c r="J3" s="1190"/>
      <c r="K3" s="1190"/>
      <c r="L3" s="1190"/>
      <c r="M3" s="1190"/>
      <c r="N3" s="1190"/>
      <c r="O3" s="1190"/>
      <c r="P3" s="1190"/>
      <c r="Q3" s="1190"/>
      <c r="S3">
        <f>D14*600*10</f>
        <v>22194000</v>
      </c>
    </row>
    <row r="4" spans="1:28" ht="20.25">
      <c r="A4" s="1155" t="s">
        <v>636</v>
      </c>
      <c r="B4" s="1155"/>
      <c r="C4" s="1155"/>
      <c r="D4" s="1155"/>
      <c r="E4" s="1155"/>
      <c r="F4" s="1155"/>
      <c r="G4" s="1155"/>
      <c r="H4" s="1155"/>
      <c r="I4" s="1155"/>
      <c r="J4" s="1155"/>
      <c r="K4" s="1155"/>
      <c r="L4" s="1155"/>
      <c r="M4" s="1155"/>
      <c r="N4" s="1155"/>
      <c r="O4" s="1155"/>
      <c r="P4" s="1155"/>
      <c r="Q4" s="40"/>
    </row>
    <row r="5" spans="1:28" ht="15.75">
      <c r="A5" s="1273" t="s">
        <v>1082</v>
      </c>
      <c r="B5" s="1273"/>
      <c r="C5" s="1273"/>
      <c r="D5" s="1273"/>
      <c r="E5" s="1273"/>
      <c r="F5" s="1273"/>
      <c r="G5" s="1273"/>
      <c r="H5" s="1273"/>
      <c r="I5" s="1273"/>
      <c r="J5" s="1273"/>
      <c r="K5" s="1273"/>
      <c r="L5" s="1273"/>
      <c r="M5" s="1273"/>
      <c r="N5" s="1273"/>
      <c r="O5" s="1273"/>
      <c r="P5" s="1273"/>
      <c r="Q5" s="1273"/>
    </row>
    <row r="6" spans="1:28">
      <c r="A6" s="33"/>
      <c r="B6" s="33"/>
      <c r="C6" s="138"/>
      <c r="D6" s="33"/>
      <c r="E6" s="33"/>
      <c r="F6" s="33"/>
      <c r="G6" s="33"/>
      <c r="H6" s="33"/>
      <c r="I6" s="33"/>
      <c r="J6" s="33"/>
      <c r="K6" s="33"/>
      <c r="L6" s="33"/>
      <c r="M6" s="33"/>
      <c r="N6" s="33"/>
      <c r="O6" s="33"/>
      <c r="P6" s="33"/>
      <c r="Q6" s="33"/>
      <c r="U6" s="33"/>
    </row>
    <row r="8" spans="1:28" ht="15.75">
      <c r="A8" s="1113" t="s">
        <v>1083</v>
      </c>
      <c r="B8" s="1113"/>
      <c r="C8" s="1113"/>
      <c r="D8" s="1113"/>
      <c r="E8" s="1113"/>
      <c r="F8" s="1113"/>
      <c r="G8" s="1113"/>
      <c r="H8" s="1113"/>
      <c r="I8" s="1113"/>
      <c r="J8" s="1113"/>
      <c r="K8" s="1113"/>
      <c r="L8" s="1113"/>
      <c r="M8" s="1113"/>
      <c r="N8" s="1113"/>
      <c r="O8" s="1113"/>
      <c r="P8" s="1113"/>
      <c r="Q8" s="1113"/>
      <c r="R8" s="1113"/>
      <c r="S8" s="1113"/>
      <c r="T8" s="1113"/>
      <c r="U8" s="1113"/>
      <c r="V8" s="1113"/>
    </row>
    <row r="9" spans="1:28" ht="15.75">
      <c r="A9" s="42"/>
      <c r="B9" s="37"/>
      <c r="C9" s="37"/>
      <c r="D9" s="37"/>
      <c r="E9" s="37"/>
      <c r="F9" s="37"/>
      <c r="G9" s="37"/>
      <c r="H9" s="37"/>
      <c r="I9" s="37"/>
      <c r="J9" s="37"/>
      <c r="K9" s="37"/>
      <c r="L9" s="37"/>
      <c r="M9" s="37"/>
      <c r="N9" s="37"/>
      <c r="O9" s="37"/>
      <c r="P9" s="1274" t="s">
        <v>227</v>
      </c>
      <c r="Q9" s="1274"/>
      <c r="R9" s="1274"/>
      <c r="S9" s="1274"/>
      <c r="U9" s="37"/>
    </row>
    <row r="10" spans="1:28">
      <c r="P10" s="1194" t="s">
        <v>794</v>
      </c>
      <c r="Q10" s="1194"/>
      <c r="R10" s="1194"/>
      <c r="S10" s="1194"/>
    </row>
    <row r="11" spans="1:28" ht="28.5" customHeight="1">
      <c r="A11" s="1267" t="s">
        <v>25</v>
      </c>
      <c r="B11" s="1181" t="s">
        <v>206</v>
      </c>
      <c r="C11" s="1181" t="s">
        <v>368</v>
      </c>
      <c r="D11" s="1181" t="s">
        <v>475</v>
      </c>
      <c r="E11" s="1115" t="s">
        <v>661</v>
      </c>
      <c r="F11" s="1115"/>
      <c r="G11" s="1115"/>
      <c r="H11" s="1090" t="s">
        <v>660</v>
      </c>
      <c r="I11" s="1100"/>
      <c r="J11" s="1091"/>
      <c r="K11" s="1264" t="s">
        <v>370</v>
      </c>
      <c r="L11" s="1265"/>
      <c r="M11" s="1266"/>
      <c r="N11" s="1195" t="s">
        <v>156</v>
      </c>
      <c r="O11" s="1263"/>
      <c r="P11" s="1192"/>
      <c r="Q11" s="1083" t="s">
        <v>1084</v>
      </c>
      <c r="R11" s="1083"/>
      <c r="S11" s="1083"/>
      <c r="T11" s="1181" t="s">
        <v>252</v>
      </c>
      <c r="U11" s="1181" t="s">
        <v>424</v>
      </c>
      <c r="V11" s="1181" t="s">
        <v>371</v>
      </c>
    </row>
    <row r="12" spans="1:28" ht="65.25" customHeight="1">
      <c r="A12" s="1268"/>
      <c r="B12" s="1182"/>
      <c r="C12" s="1182"/>
      <c r="D12" s="1182"/>
      <c r="E12" s="5" t="s">
        <v>179</v>
      </c>
      <c r="F12" s="5" t="s">
        <v>207</v>
      </c>
      <c r="G12" s="5" t="s">
        <v>18</v>
      </c>
      <c r="H12" s="5" t="s">
        <v>179</v>
      </c>
      <c r="I12" s="5" t="s">
        <v>207</v>
      </c>
      <c r="J12" s="5" t="s">
        <v>18</v>
      </c>
      <c r="K12" s="5" t="s">
        <v>179</v>
      </c>
      <c r="L12" s="5" t="s">
        <v>207</v>
      </c>
      <c r="M12" s="5" t="s">
        <v>18</v>
      </c>
      <c r="N12" s="5" t="s">
        <v>179</v>
      </c>
      <c r="O12" s="5" t="s">
        <v>207</v>
      </c>
      <c r="P12" s="5" t="s">
        <v>18</v>
      </c>
      <c r="Q12" s="5" t="s">
        <v>237</v>
      </c>
      <c r="R12" s="5" t="s">
        <v>218</v>
      </c>
      <c r="S12" s="5" t="s">
        <v>219</v>
      </c>
      <c r="T12" s="1182"/>
      <c r="U12" s="1182"/>
      <c r="V12" s="1182"/>
    </row>
    <row r="13" spans="1:28">
      <c r="A13" s="136">
        <v>1</v>
      </c>
      <c r="B13" s="100">
        <v>2</v>
      </c>
      <c r="C13" s="8">
        <v>3</v>
      </c>
      <c r="D13" s="100">
        <v>4</v>
      </c>
      <c r="E13" s="100">
        <v>5</v>
      </c>
      <c r="F13" s="8">
        <v>6</v>
      </c>
      <c r="G13" s="100">
        <v>7</v>
      </c>
      <c r="H13" s="100">
        <v>8</v>
      </c>
      <c r="I13" s="8">
        <v>9</v>
      </c>
      <c r="J13" s="100">
        <v>10</v>
      </c>
      <c r="K13" s="100">
        <v>11</v>
      </c>
      <c r="L13" s="8">
        <v>12</v>
      </c>
      <c r="M13" s="100">
        <v>13</v>
      </c>
      <c r="N13" s="100">
        <v>14</v>
      </c>
      <c r="O13" s="8">
        <v>15</v>
      </c>
      <c r="P13" s="100">
        <v>16</v>
      </c>
      <c r="Q13" s="100">
        <v>17</v>
      </c>
      <c r="R13" s="8">
        <v>18</v>
      </c>
      <c r="S13" s="100">
        <v>19</v>
      </c>
      <c r="T13" s="100">
        <v>20</v>
      </c>
      <c r="U13" s="8">
        <v>21</v>
      </c>
      <c r="V13" s="100">
        <v>22</v>
      </c>
    </row>
    <row r="14" spans="1:28" ht="16.5">
      <c r="A14" s="19">
        <v>1</v>
      </c>
      <c r="B14" s="692" t="s">
        <v>825</v>
      </c>
      <c r="C14" s="761">
        <v>4310.4598313986535</v>
      </c>
      <c r="D14" s="111">
        <v>3699</v>
      </c>
      <c r="E14" s="693">
        <v>219.92268692416002</v>
      </c>
      <c r="F14" s="693">
        <v>147.66773123461334</v>
      </c>
      <c r="G14" s="693">
        <f>E14+F14</f>
        <v>367.59041815877333</v>
      </c>
      <c r="H14" s="693">
        <v>17.936383724160002</v>
      </c>
      <c r="I14" s="693">
        <v>2.8752350313866675</v>
      </c>
      <c r="J14" s="693">
        <f>H14+I14</f>
        <v>20.811618755546668</v>
      </c>
      <c r="K14" s="693">
        <v>201.98630320000001</v>
      </c>
      <c r="L14" s="693">
        <v>135.62429393333335</v>
      </c>
      <c r="M14" s="693">
        <f>K14+L14</f>
        <v>337.61059713333339</v>
      </c>
      <c r="N14" s="693">
        <v>198.649</v>
      </c>
      <c r="O14" s="693">
        <v>132.43266666666668</v>
      </c>
      <c r="P14" s="693">
        <f>N14+O14</f>
        <v>331.08166666666671</v>
      </c>
      <c r="Q14" s="693">
        <f>K14+H14-N14</f>
        <v>21.273686924160017</v>
      </c>
      <c r="R14" s="693">
        <f>L14+I14-O14</f>
        <v>6.0668622980533371</v>
      </c>
      <c r="S14" s="693">
        <f>Q14+R14</f>
        <v>27.340549222213355</v>
      </c>
      <c r="T14" s="1269" t="s">
        <v>1085</v>
      </c>
      <c r="U14" s="29">
        <v>3699</v>
      </c>
      <c r="V14" s="29">
        <v>3699</v>
      </c>
      <c r="W14">
        <f>N14/3</f>
        <v>66.216333333333338</v>
      </c>
      <c r="X14" s="694">
        <f>N14+W14</f>
        <v>264.86533333333335</v>
      </c>
      <c r="Y14">
        <f>D14*600*8.5/100000+10</f>
        <v>198.649</v>
      </c>
      <c r="Z14" s="694">
        <f>X14-Y14</f>
        <v>66.216333333333353</v>
      </c>
      <c r="AA14">
        <f>D14*9*400/100000</f>
        <v>133.16399999999999</v>
      </c>
      <c r="AB14" s="694">
        <f>N14*40/60</f>
        <v>132.43266666666668</v>
      </c>
    </row>
    <row r="15" spans="1:28" ht="16.5">
      <c r="A15" s="19">
        <v>2</v>
      </c>
      <c r="B15" s="692" t="s">
        <v>826</v>
      </c>
      <c r="C15" s="761">
        <v>2450.4430251937683</v>
      </c>
      <c r="D15" s="111">
        <v>2377</v>
      </c>
      <c r="E15" s="693">
        <v>134.20942248768</v>
      </c>
      <c r="F15" s="693">
        <v>90.115309185439997</v>
      </c>
      <c r="G15" s="693">
        <f t="shared" ref="G15:G46" si="0">E15+F15</f>
        <v>224.32473167312</v>
      </c>
      <c r="H15" s="693">
        <v>10.945808887680002</v>
      </c>
      <c r="I15" s="693">
        <v>1.7546331325600002</v>
      </c>
      <c r="J15" s="693">
        <f t="shared" ref="J15:J46" si="1">H15+I15</f>
        <v>12.700442020240002</v>
      </c>
      <c r="K15" s="693">
        <v>123.26361360000001</v>
      </c>
      <c r="L15" s="693">
        <v>82.7657138</v>
      </c>
      <c r="M15" s="693">
        <f t="shared" ref="M15:M46" si="2">K15+L15</f>
        <v>206.0293274</v>
      </c>
      <c r="N15" s="693">
        <v>121.227</v>
      </c>
      <c r="O15" s="693">
        <v>80.817999999999998</v>
      </c>
      <c r="P15" s="693">
        <f t="shared" ref="P15:P46" si="3">N15+O15</f>
        <v>202.04500000000002</v>
      </c>
      <c r="Q15" s="693">
        <f t="shared" ref="Q15:R46" si="4">K15+H15-N15</f>
        <v>12.982422487679997</v>
      </c>
      <c r="R15" s="693">
        <f t="shared" si="4"/>
        <v>3.7023469325600047</v>
      </c>
      <c r="S15" s="693">
        <f t="shared" ref="S15:S46" si="5">Q15+R15</f>
        <v>16.684769420240002</v>
      </c>
      <c r="T15" s="1270"/>
      <c r="U15" s="29">
        <v>2377</v>
      </c>
      <c r="V15" s="29">
        <v>2377</v>
      </c>
      <c r="W15">
        <f t="shared" ref="W15:W46" si="6">N15/3</f>
        <v>40.408999999999999</v>
      </c>
      <c r="X15" s="694">
        <f t="shared" ref="X15:X46" si="7">N15+W15</f>
        <v>161.636</v>
      </c>
      <c r="Y15">
        <f>D15*600*8.5/100000</f>
        <v>121.227</v>
      </c>
      <c r="Z15" s="694">
        <f t="shared" ref="Z15:Z46" si="8">X15-Y15</f>
        <v>40.408999999999992</v>
      </c>
      <c r="AA15">
        <f>D15*9*400/100000</f>
        <v>85.572000000000003</v>
      </c>
      <c r="AB15" s="694">
        <f t="shared" ref="AB15:AB46" si="9">N15*40/60</f>
        <v>80.817999999999998</v>
      </c>
    </row>
    <row r="16" spans="1:28" ht="16.5">
      <c r="A16" s="19">
        <v>3</v>
      </c>
      <c r="B16" s="692" t="s">
        <v>827</v>
      </c>
      <c r="C16" s="761">
        <v>4387.5891515280091</v>
      </c>
      <c r="D16" s="111">
        <v>4390</v>
      </c>
      <c r="E16" s="693">
        <v>247.86679205760001</v>
      </c>
      <c r="F16" s="693">
        <v>166.43088234079994</v>
      </c>
      <c r="G16" s="693">
        <f t="shared" si="0"/>
        <v>414.29767439839998</v>
      </c>
      <c r="H16" s="693">
        <v>20.215440057600002</v>
      </c>
      <c r="I16" s="693">
        <v>3.2405719191999993</v>
      </c>
      <c r="J16" s="693">
        <f t="shared" si="1"/>
        <v>23.456011976800003</v>
      </c>
      <c r="K16" s="693">
        <v>227.651352</v>
      </c>
      <c r="L16" s="693">
        <v>152.85716599999995</v>
      </c>
      <c r="M16" s="693">
        <f t="shared" si="2"/>
        <v>380.50851799999998</v>
      </c>
      <c r="N16" s="693">
        <v>223.89</v>
      </c>
      <c r="O16" s="693">
        <v>149.25999999999996</v>
      </c>
      <c r="P16" s="693">
        <f t="shared" si="3"/>
        <v>373.15</v>
      </c>
      <c r="Q16" s="693">
        <f t="shared" si="4"/>
        <v>23.976792057600022</v>
      </c>
      <c r="R16" s="693">
        <f t="shared" si="4"/>
        <v>6.8377379191999808</v>
      </c>
      <c r="S16" s="693">
        <f t="shared" si="5"/>
        <v>30.814529976800003</v>
      </c>
      <c r="T16" s="1270"/>
      <c r="U16" s="29">
        <v>4390</v>
      </c>
      <c r="V16" s="29">
        <v>4390</v>
      </c>
      <c r="W16">
        <f t="shared" si="6"/>
        <v>74.63</v>
      </c>
      <c r="X16" s="694">
        <f t="shared" si="7"/>
        <v>298.52</v>
      </c>
      <c r="Y16">
        <f t="shared" ref="Y16:Y46" si="10">D16*600*8.5/100000</f>
        <v>223.89</v>
      </c>
      <c r="Z16" s="694">
        <f t="shared" si="8"/>
        <v>74.63</v>
      </c>
      <c r="AA16">
        <f t="shared" ref="AA16:AA46" si="11">D16*9*400/100000</f>
        <v>158.04</v>
      </c>
      <c r="AB16" s="694">
        <f t="shared" si="9"/>
        <v>149.25999999999996</v>
      </c>
    </row>
    <row r="17" spans="1:28" ht="16.5">
      <c r="A17" s="19">
        <v>4</v>
      </c>
      <c r="B17" s="692" t="s">
        <v>828</v>
      </c>
      <c r="C17" s="761">
        <v>3372.4324577499515</v>
      </c>
      <c r="D17" s="111">
        <v>3445</v>
      </c>
      <c r="E17" s="693">
        <v>194.51050082879999</v>
      </c>
      <c r="F17" s="693">
        <v>130.60464457039996</v>
      </c>
      <c r="G17" s="693">
        <f t="shared" si="0"/>
        <v>325.11514539919995</v>
      </c>
      <c r="H17" s="693">
        <v>15.863824828800002</v>
      </c>
      <c r="I17" s="693">
        <v>2.5430000595999993</v>
      </c>
      <c r="J17" s="693">
        <f t="shared" si="1"/>
        <v>18.406824888400003</v>
      </c>
      <c r="K17" s="693">
        <v>178.64667600000001</v>
      </c>
      <c r="L17" s="693">
        <v>119.95283299999997</v>
      </c>
      <c r="M17" s="693">
        <f t="shared" si="2"/>
        <v>298.59950900000001</v>
      </c>
      <c r="N17" s="693">
        <v>175.69499999999999</v>
      </c>
      <c r="O17" s="693">
        <v>117.12999999999998</v>
      </c>
      <c r="P17" s="693">
        <f t="shared" si="3"/>
        <v>292.82499999999999</v>
      </c>
      <c r="Q17" s="693">
        <f t="shared" si="4"/>
        <v>18.815500828800026</v>
      </c>
      <c r="R17" s="693">
        <f t="shared" si="4"/>
        <v>5.3658330595999928</v>
      </c>
      <c r="S17" s="693">
        <f t="shared" si="5"/>
        <v>24.181333888400019</v>
      </c>
      <c r="T17" s="1270"/>
      <c r="U17" s="29">
        <v>3445</v>
      </c>
      <c r="V17" s="29">
        <v>3445</v>
      </c>
      <c r="W17">
        <f t="shared" si="6"/>
        <v>58.564999999999998</v>
      </c>
      <c r="X17" s="694">
        <f t="shared" si="7"/>
        <v>234.26</v>
      </c>
      <c r="Y17">
        <f t="shared" si="10"/>
        <v>175.69499999999999</v>
      </c>
      <c r="Z17" s="694">
        <f t="shared" si="8"/>
        <v>58.564999999999998</v>
      </c>
      <c r="AA17">
        <f t="shared" si="11"/>
        <v>124.02</v>
      </c>
      <c r="AB17" s="694">
        <f t="shared" si="9"/>
        <v>117.12999999999998</v>
      </c>
    </row>
    <row r="18" spans="1:28" ht="16.5">
      <c r="A18" s="19">
        <v>5</v>
      </c>
      <c r="B18" s="692" t="s">
        <v>829</v>
      </c>
      <c r="C18" s="761">
        <v>7647.3901267021229</v>
      </c>
      <c r="D18" s="111">
        <v>7608</v>
      </c>
      <c r="E18" s="693">
        <v>429.56049065471996</v>
      </c>
      <c r="F18" s="693">
        <v>280.43481020015997</v>
      </c>
      <c r="G18" s="693">
        <f t="shared" si="0"/>
        <v>709.99530085487993</v>
      </c>
      <c r="H18" s="693">
        <v>35.033956254720003</v>
      </c>
      <c r="I18" s="693">
        <v>5.46033980184</v>
      </c>
      <c r="J18" s="693">
        <f t="shared" si="1"/>
        <v>40.494296056560003</v>
      </c>
      <c r="K18" s="693">
        <v>394.5265344</v>
      </c>
      <c r="L18" s="693">
        <v>257.56319819999999</v>
      </c>
      <c r="M18" s="693">
        <f t="shared" si="2"/>
        <v>652.08973259999993</v>
      </c>
      <c r="N18" s="693">
        <v>388.00799999999998</v>
      </c>
      <c r="O18" s="693">
        <v>251.50199999999998</v>
      </c>
      <c r="P18" s="693">
        <f t="shared" si="3"/>
        <v>639.51</v>
      </c>
      <c r="Q18" s="693">
        <f t="shared" si="4"/>
        <v>41.552490654720032</v>
      </c>
      <c r="R18" s="693">
        <f t="shared" si="4"/>
        <v>11.521538001840014</v>
      </c>
      <c r="S18" s="693">
        <f t="shared" si="5"/>
        <v>53.074028656560046</v>
      </c>
      <c r="T18" s="1270"/>
      <c r="U18" s="29">
        <v>7608</v>
      </c>
      <c r="V18" s="29">
        <v>7608</v>
      </c>
      <c r="W18">
        <f t="shared" si="6"/>
        <v>129.33599999999998</v>
      </c>
      <c r="X18" s="694">
        <f t="shared" si="7"/>
        <v>517.34399999999994</v>
      </c>
      <c r="Y18">
        <f t="shared" si="10"/>
        <v>388.00799999999998</v>
      </c>
      <c r="Z18" s="694">
        <f t="shared" si="8"/>
        <v>129.33599999999996</v>
      </c>
      <c r="AA18">
        <f t="shared" si="11"/>
        <v>273.88799999999998</v>
      </c>
      <c r="AB18" s="694">
        <f>N18*40/60-6-1.17</f>
        <v>251.50199999999998</v>
      </c>
    </row>
    <row r="19" spans="1:28" ht="16.5" customHeight="1">
      <c r="A19" s="19">
        <v>6</v>
      </c>
      <c r="B19" s="692" t="s">
        <v>830</v>
      </c>
      <c r="C19" s="761">
        <v>3071.2492431149317</v>
      </c>
      <c r="D19" s="111">
        <v>2923</v>
      </c>
      <c r="E19" s="693">
        <v>174.74559020928001</v>
      </c>
      <c r="F19" s="693">
        <v>117.33343753823999</v>
      </c>
      <c r="G19" s="693">
        <f t="shared" si="0"/>
        <v>292.07902774752</v>
      </c>
      <c r="H19" s="693">
        <v>14.251844609280001</v>
      </c>
      <c r="I19" s="693">
        <v>2.2845966897600003</v>
      </c>
      <c r="J19" s="693">
        <f t="shared" si="1"/>
        <v>16.53644129904</v>
      </c>
      <c r="K19" s="693">
        <v>160.49374560000001</v>
      </c>
      <c r="L19" s="693">
        <v>107.76399480000001</v>
      </c>
      <c r="M19" s="693">
        <f t="shared" si="2"/>
        <v>268.25774039999999</v>
      </c>
      <c r="N19" s="693">
        <v>157.84200000000001</v>
      </c>
      <c r="O19" s="693">
        <v>105.22800000000001</v>
      </c>
      <c r="P19" s="693">
        <f t="shared" si="3"/>
        <v>263.07000000000005</v>
      </c>
      <c r="Q19" s="693">
        <f t="shared" si="4"/>
        <v>16.903590209279997</v>
      </c>
      <c r="R19" s="693">
        <f t="shared" si="4"/>
        <v>4.8205914897599911</v>
      </c>
      <c r="S19" s="693">
        <f t="shared" si="5"/>
        <v>21.724181699039988</v>
      </c>
      <c r="T19" s="1270"/>
      <c r="U19" s="29">
        <v>2923</v>
      </c>
      <c r="V19" s="29">
        <v>2923</v>
      </c>
      <c r="W19">
        <f t="shared" si="6"/>
        <v>52.614000000000004</v>
      </c>
      <c r="X19" s="694">
        <f t="shared" si="7"/>
        <v>210.45600000000002</v>
      </c>
      <c r="Y19">
        <f>D19*600*9/100000</f>
        <v>157.84200000000001</v>
      </c>
      <c r="Z19" s="694">
        <f t="shared" si="8"/>
        <v>52.614000000000004</v>
      </c>
      <c r="AA19">
        <f t="shared" si="11"/>
        <v>105.22799999999999</v>
      </c>
      <c r="AB19" s="694">
        <f t="shared" si="9"/>
        <v>105.22800000000001</v>
      </c>
    </row>
    <row r="20" spans="1:28" ht="16.5">
      <c r="A20" s="19">
        <v>7</v>
      </c>
      <c r="B20" s="695" t="s">
        <v>831</v>
      </c>
      <c r="C20" s="761">
        <v>2134.9177527189854</v>
      </c>
      <c r="D20" s="111">
        <v>2070</v>
      </c>
      <c r="E20" s="693">
        <v>116.87568554879999</v>
      </c>
      <c r="F20" s="693">
        <v>78.476520830399977</v>
      </c>
      <c r="G20" s="693">
        <f t="shared" si="0"/>
        <v>195.35220637919997</v>
      </c>
      <c r="H20" s="693">
        <v>9.5321095488000012</v>
      </c>
      <c r="I20" s="693">
        <v>1.5280145495999997</v>
      </c>
      <c r="J20" s="693">
        <f t="shared" si="1"/>
        <v>11.060124098400001</v>
      </c>
      <c r="K20" s="693">
        <v>107.343576</v>
      </c>
      <c r="L20" s="693">
        <v>72.076157999999978</v>
      </c>
      <c r="M20" s="693">
        <f t="shared" si="2"/>
        <v>179.41973399999998</v>
      </c>
      <c r="N20" s="693">
        <v>105.57</v>
      </c>
      <c r="O20" s="693">
        <v>70.379999999999981</v>
      </c>
      <c r="P20" s="693">
        <f t="shared" si="3"/>
        <v>175.95</v>
      </c>
      <c r="Q20" s="693">
        <f t="shared" si="4"/>
        <v>11.3056855488</v>
      </c>
      <c r="R20" s="693">
        <f t="shared" si="4"/>
        <v>3.2241725495999987</v>
      </c>
      <c r="S20" s="693">
        <f t="shared" si="5"/>
        <v>14.529858098399998</v>
      </c>
      <c r="T20" s="1270"/>
      <c r="U20" s="29">
        <v>2070</v>
      </c>
      <c r="V20" s="29">
        <v>2070</v>
      </c>
      <c r="W20">
        <f t="shared" si="6"/>
        <v>35.19</v>
      </c>
      <c r="X20" s="694">
        <f t="shared" si="7"/>
        <v>140.76</v>
      </c>
      <c r="Y20">
        <f t="shared" si="10"/>
        <v>105.57</v>
      </c>
      <c r="Z20" s="694">
        <f t="shared" si="8"/>
        <v>35.19</v>
      </c>
      <c r="AA20">
        <f t="shared" si="11"/>
        <v>74.52</v>
      </c>
      <c r="AB20" s="694">
        <f t="shared" si="9"/>
        <v>70.379999999999981</v>
      </c>
    </row>
    <row r="21" spans="1:28" ht="16.5">
      <c r="A21" s="19">
        <v>8</v>
      </c>
      <c r="B21" s="692" t="s">
        <v>832</v>
      </c>
      <c r="C21" s="761">
        <v>1884.4654704614732</v>
      </c>
      <c r="D21" s="111">
        <v>3051</v>
      </c>
      <c r="E21" s="693">
        <v>172.26459739583998</v>
      </c>
      <c r="F21" s="693">
        <v>112.32244741872</v>
      </c>
      <c r="G21" s="693">
        <f t="shared" si="0"/>
        <v>284.58704481455999</v>
      </c>
      <c r="H21" s="693">
        <v>14.049500595840001</v>
      </c>
      <c r="I21" s="693">
        <v>2.18702781528</v>
      </c>
      <c r="J21" s="693">
        <f t="shared" si="1"/>
        <v>16.236528411120002</v>
      </c>
      <c r="K21" s="693">
        <v>158.2150968</v>
      </c>
      <c r="L21" s="693">
        <v>103.1616894</v>
      </c>
      <c r="M21" s="693">
        <f t="shared" si="2"/>
        <v>261.37678619999997</v>
      </c>
      <c r="N21" s="693">
        <v>155.601</v>
      </c>
      <c r="O21" s="693">
        <v>100.73399999999999</v>
      </c>
      <c r="P21" s="693">
        <f t="shared" si="3"/>
        <v>256.33499999999998</v>
      </c>
      <c r="Q21" s="693">
        <f t="shared" si="4"/>
        <v>16.663597395839986</v>
      </c>
      <c r="R21" s="693">
        <f t="shared" si="4"/>
        <v>4.6147172152800096</v>
      </c>
      <c r="S21" s="693">
        <f t="shared" si="5"/>
        <v>21.278314611119995</v>
      </c>
      <c r="T21" s="1270"/>
      <c r="U21" s="29">
        <v>3051</v>
      </c>
      <c r="V21" s="29">
        <v>3051</v>
      </c>
      <c r="W21">
        <f t="shared" si="6"/>
        <v>51.866999999999997</v>
      </c>
      <c r="X21" s="694">
        <f t="shared" si="7"/>
        <v>207.46799999999999</v>
      </c>
      <c r="Y21">
        <f t="shared" si="10"/>
        <v>155.601</v>
      </c>
      <c r="Z21" s="694">
        <f t="shared" si="8"/>
        <v>51.86699999999999</v>
      </c>
      <c r="AA21">
        <f t="shared" si="11"/>
        <v>109.836</v>
      </c>
      <c r="AB21" s="694">
        <f>N21*40/60-3</f>
        <v>100.73399999999999</v>
      </c>
    </row>
    <row r="22" spans="1:28" ht="16.5">
      <c r="A22" s="19">
        <v>9</v>
      </c>
      <c r="B22" s="696" t="s">
        <v>1080</v>
      </c>
      <c r="C22" s="761">
        <v>5152.8964952862261</v>
      </c>
      <c r="D22" s="111">
        <v>5272</v>
      </c>
      <c r="E22" s="693">
        <v>297.66599720447999</v>
      </c>
      <c r="F22" s="693">
        <v>199.86870425984</v>
      </c>
      <c r="G22" s="693">
        <f t="shared" si="0"/>
        <v>497.53470146431999</v>
      </c>
      <c r="H22" s="693">
        <v>24.276947604480007</v>
      </c>
      <c r="I22" s="693">
        <v>3.8916389881600009</v>
      </c>
      <c r="J22" s="693">
        <f t="shared" si="1"/>
        <v>28.168586592640008</v>
      </c>
      <c r="K22" s="693">
        <v>273.38904960000002</v>
      </c>
      <c r="L22" s="693">
        <v>183.56787680000002</v>
      </c>
      <c r="M22" s="693">
        <f t="shared" si="2"/>
        <v>456.95692640000004</v>
      </c>
      <c r="N22" s="693">
        <v>268.87200000000001</v>
      </c>
      <c r="O22" s="693">
        <v>179.24800000000002</v>
      </c>
      <c r="P22" s="693">
        <f t="shared" si="3"/>
        <v>448.12</v>
      </c>
      <c r="Q22" s="693">
        <f t="shared" si="4"/>
        <v>28.793997204480036</v>
      </c>
      <c r="R22" s="693">
        <f t="shared" si="4"/>
        <v>8.2115157881599998</v>
      </c>
      <c r="S22" s="693">
        <f t="shared" si="5"/>
        <v>37.005512992640035</v>
      </c>
      <c r="T22" s="1270"/>
      <c r="U22" s="29">
        <v>5272</v>
      </c>
      <c r="V22" s="29">
        <v>5272</v>
      </c>
      <c r="W22">
        <f t="shared" si="6"/>
        <v>89.624000000000009</v>
      </c>
      <c r="X22" s="694">
        <f t="shared" si="7"/>
        <v>358.49600000000004</v>
      </c>
      <c r="Y22">
        <f t="shared" si="10"/>
        <v>268.87200000000001</v>
      </c>
      <c r="Z22" s="694">
        <f t="shared" si="8"/>
        <v>89.624000000000024</v>
      </c>
      <c r="AA22">
        <f t="shared" si="11"/>
        <v>189.792</v>
      </c>
      <c r="AB22" s="694">
        <f t="shared" si="9"/>
        <v>179.24800000000002</v>
      </c>
    </row>
    <row r="23" spans="1:28" ht="16.5">
      <c r="A23" s="19">
        <v>10</v>
      </c>
      <c r="B23" s="697" t="s">
        <v>834</v>
      </c>
      <c r="C23" s="761">
        <v>1349.5998793053452</v>
      </c>
      <c r="D23" s="111">
        <v>1221</v>
      </c>
      <c r="E23" s="693">
        <v>68.939715968640002</v>
      </c>
      <c r="F23" s="693">
        <v>46.289773881119999</v>
      </c>
      <c r="G23" s="693">
        <f t="shared" si="0"/>
        <v>115.22948984976</v>
      </c>
      <c r="H23" s="693">
        <v>5.6225631686400002</v>
      </c>
      <c r="I23" s="693">
        <v>0.90130713288000008</v>
      </c>
      <c r="J23" s="693">
        <f t="shared" si="1"/>
        <v>6.5238703015200006</v>
      </c>
      <c r="K23" s="693">
        <v>63.317152800000002</v>
      </c>
      <c r="L23" s="693">
        <v>42.5144874</v>
      </c>
      <c r="M23" s="693">
        <f t="shared" si="2"/>
        <v>105.83164020000001</v>
      </c>
      <c r="N23" s="693">
        <v>62.271000000000001</v>
      </c>
      <c r="O23" s="693">
        <v>41.514000000000003</v>
      </c>
      <c r="P23" s="693">
        <f t="shared" si="3"/>
        <v>103.785</v>
      </c>
      <c r="Q23" s="693">
        <f t="shared" si="4"/>
        <v>6.6687159686400008</v>
      </c>
      <c r="R23" s="693">
        <f t="shared" si="4"/>
        <v>1.9017945328799968</v>
      </c>
      <c r="S23" s="693">
        <f t="shared" si="5"/>
        <v>8.5705105015199976</v>
      </c>
      <c r="T23" s="1270"/>
      <c r="U23" s="29">
        <v>1221</v>
      </c>
      <c r="V23" s="29">
        <v>1221</v>
      </c>
      <c r="W23">
        <f t="shared" si="6"/>
        <v>20.757000000000001</v>
      </c>
      <c r="X23" s="694">
        <f t="shared" si="7"/>
        <v>83.028000000000006</v>
      </c>
      <c r="Y23">
        <f t="shared" si="10"/>
        <v>62.271000000000001</v>
      </c>
      <c r="Z23" s="694">
        <f t="shared" si="8"/>
        <v>20.757000000000005</v>
      </c>
      <c r="AA23">
        <f t="shared" si="11"/>
        <v>43.956000000000003</v>
      </c>
      <c r="AB23" s="694">
        <f t="shared" si="9"/>
        <v>41.514000000000003</v>
      </c>
    </row>
    <row r="24" spans="1:28" ht="16.5">
      <c r="A24" s="19">
        <v>11</v>
      </c>
      <c r="B24" s="698" t="s">
        <v>835</v>
      </c>
      <c r="C24" s="761">
        <v>698.66310333701915</v>
      </c>
      <c r="D24" s="111">
        <v>1165</v>
      </c>
      <c r="E24" s="693">
        <v>65.7778616736</v>
      </c>
      <c r="F24" s="693">
        <v>44.166737568799988</v>
      </c>
      <c r="G24" s="693">
        <f t="shared" si="0"/>
        <v>109.94459924239999</v>
      </c>
      <c r="H24" s="693">
        <v>5.3646896736000009</v>
      </c>
      <c r="I24" s="693">
        <v>0.85996954120000002</v>
      </c>
      <c r="J24" s="693">
        <f t="shared" si="1"/>
        <v>6.2246592148000008</v>
      </c>
      <c r="K24" s="693">
        <v>60.413172000000003</v>
      </c>
      <c r="L24" s="693">
        <v>40.564600999999996</v>
      </c>
      <c r="M24" s="693">
        <f t="shared" si="2"/>
        <v>100.977773</v>
      </c>
      <c r="N24" s="693">
        <v>59.414999999999999</v>
      </c>
      <c r="O24" s="693">
        <v>39.61</v>
      </c>
      <c r="P24" s="693">
        <f t="shared" si="3"/>
        <v>99.025000000000006</v>
      </c>
      <c r="Q24" s="693">
        <f t="shared" si="4"/>
        <v>6.3628616736000012</v>
      </c>
      <c r="R24" s="693">
        <f t="shared" si="4"/>
        <v>1.8145705411999984</v>
      </c>
      <c r="S24" s="693">
        <f t="shared" si="5"/>
        <v>8.1774322147999996</v>
      </c>
      <c r="T24" s="1270"/>
      <c r="U24" s="29">
        <v>1165</v>
      </c>
      <c r="V24" s="29">
        <v>1165</v>
      </c>
      <c r="W24">
        <f t="shared" si="6"/>
        <v>19.805</v>
      </c>
      <c r="X24" s="694">
        <f t="shared" si="7"/>
        <v>79.22</v>
      </c>
      <c r="Y24">
        <f t="shared" si="10"/>
        <v>59.414999999999999</v>
      </c>
      <c r="Z24" s="694">
        <f t="shared" si="8"/>
        <v>19.805</v>
      </c>
      <c r="AA24">
        <f t="shared" si="11"/>
        <v>41.94</v>
      </c>
      <c r="AB24" s="694">
        <f t="shared" si="9"/>
        <v>39.61</v>
      </c>
    </row>
    <row r="25" spans="1:28" ht="16.5">
      <c r="A25" s="19">
        <v>12</v>
      </c>
      <c r="B25" s="692" t="s">
        <v>836</v>
      </c>
      <c r="C25" s="761">
        <v>4164.7500921159881</v>
      </c>
      <c r="D25" s="111">
        <v>3993</v>
      </c>
      <c r="E25" s="693">
        <v>225.45150357312002</v>
      </c>
      <c r="F25" s="693">
        <v>151.38007134095997</v>
      </c>
      <c r="G25" s="693">
        <f t="shared" si="0"/>
        <v>376.83157491407997</v>
      </c>
      <c r="H25" s="693">
        <v>18.387301173120004</v>
      </c>
      <c r="I25" s="693">
        <v>2.9475179210400002</v>
      </c>
      <c r="J25" s="693">
        <f t="shared" si="1"/>
        <v>21.334819094160004</v>
      </c>
      <c r="K25" s="693">
        <v>207.06420240000003</v>
      </c>
      <c r="L25" s="693">
        <v>139.03386419999998</v>
      </c>
      <c r="M25" s="693">
        <f t="shared" si="2"/>
        <v>346.09806660000004</v>
      </c>
      <c r="N25" s="693">
        <v>203.643</v>
      </c>
      <c r="O25" s="693">
        <v>135.762</v>
      </c>
      <c r="P25" s="693">
        <f t="shared" si="3"/>
        <v>339.40499999999997</v>
      </c>
      <c r="Q25" s="693">
        <f t="shared" si="4"/>
        <v>21.808503573120021</v>
      </c>
      <c r="R25" s="693">
        <f t="shared" si="4"/>
        <v>6.2193821210399847</v>
      </c>
      <c r="S25" s="693">
        <f t="shared" si="5"/>
        <v>28.027885694160005</v>
      </c>
      <c r="T25" s="1270"/>
      <c r="U25" s="29">
        <v>3993</v>
      </c>
      <c r="V25" s="29">
        <v>3993</v>
      </c>
      <c r="W25">
        <f t="shared" si="6"/>
        <v>67.881</v>
      </c>
      <c r="X25" s="694">
        <f t="shared" si="7"/>
        <v>271.524</v>
      </c>
      <c r="Y25">
        <f t="shared" si="10"/>
        <v>203.643</v>
      </c>
      <c r="Z25" s="694">
        <f t="shared" si="8"/>
        <v>67.881</v>
      </c>
      <c r="AA25">
        <f t="shared" si="11"/>
        <v>143.74799999999999</v>
      </c>
      <c r="AB25" s="694">
        <f t="shared" si="9"/>
        <v>135.762</v>
      </c>
    </row>
    <row r="26" spans="1:28" ht="16.5" customHeight="1">
      <c r="A26" s="19">
        <v>13</v>
      </c>
      <c r="B26" s="699" t="s">
        <v>837</v>
      </c>
      <c r="C26" s="761">
        <v>5359.8319012599477</v>
      </c>
      <c r="D26" s="111">
        <v>5470</v>
      </c>
      <c r="E26" s="693">
        <v>308.84541060480007</v>
      </c>
      <c r="F26" s="693">
        <v>204.03003383840002</v>
      </c>
      <c r="G26" s="693">
        <f t="shared" si="0"/>
        <v>512.87544444320008</v>
      </c>
      <c r="H26" s="693">
        <v>25.188714604800008</v>
      </c>
      <c r="I26" s="693">
        <v>3.9726641416000006</v>
      </c>
      <c r="J26" s="693">
        <f t="shared" si="1"/>
        <v>29.161378746400008</v>
      </c>
      <c r="K26" s="693">
        <v>283.65669600000007</v>
      </c>
      <c r="L26" s="693">
        <v>187.38981800000002</v>
      </c>
      <c r="M26" s="693">
        <f t="shared" si="2"/>
        <v>471.04651400000012</v>
      </c>
      <c r="N26" s="693">
        <v>278.97000000000003</v>
      </c>
      <c r="O26" s="693">
        <v>182.98000000000002</v>
      </c>
      <c r="P26" s="693">
        <f t="shared" si="3"/>
        <v>461.95000000000005</v>
      </c>
      <c r="Q26" s="693">
        <f t="shared" si="4"/>
        <v>29.875410604800038</v>
      </c>
      <c r="R26" s="693">
        <f t="shared" si="4"/>
        <v>8.3824821416000077</v>
      </c>
      <c r="S26" s="693">
        <f t="shared" si="5"/>
        <v>38.257892746400046</v>
      </c>
      <c r="T26" s="1270"/>
      <c r="U26" s="29">
        <v>5470</v>
      </c>
      <c r="V26" s="29">
        <v>5470</v>
      </c>
      <c r="W26">
        <f t="shared" si="6"/>
        <v>92.990000000000009</v>
      </c>
      <c r="X26" s="694">
        <f t="shared" si="7"/>
        <v>371.96000000000004</v>
      </c>
      <c r="Y26">
        <f t="shared" si="10"/>
        <v>278.97000000000003</v>
      </c>
      <c r="Z26" s="694">
        <f t="shared" si="8"/>
        <v>92.990000000000009</v>
      </c>
      <c r="AA26">
        <f t="shared" si="11"/>
        <v>196.92</v>
      </c>
      <c r="AB26" s="694">
        <f>N26*40/60-3</f>
        <v>182.98000000000002</v>
      </c>
    </row>
    <row r="27" spans="1:28" ht="16.5">
      <c r="A27" s="19">
        <v>14</v>
      </c>
      <c r="B27" s="699" t="s">
        <v>838</v>
      </c>
      <c r="C27" s="761">
        <v>1028.722781121247</v>
      </c>
      <c r="D27" s="111">
        <v>2045</v>
      </c>
      <c r="E27" s="693">
        <v>115.46414345280002</v>
      </c>
      <c r="F27" s="693">
        <v>77.528736762399987</v>
      </c>
      <c r="G27" s="693">
        <f t="shared" si="0"/>
        <v>192.99288021519999</v>
      </c>
      <c r="H27" s="693">
        <v>9.4169874528000026</v>
      </c>
      <c r="I27" s="693">
        <v>1.5095602675999999</v>
      </c>
      <c r="J27" s="693">
        <f t="shared" si="1"/>
        <v>10.926547720400002</v>
      </c>
      <c r="K27" s="693">
        <v>106.04715600000002</v>
      </c>
      <c r="L27" s="693">
        <v>71.20567299999999</v>
      </c>
      <c r="M27" s="693">
        <f t="shared" si="2"/>
        <v>177.25282900000002</v>
      </c>
      <c r="N27" s="693">
        <v>104.295</v>
      </c>
      <c r="O27" s="693">
        <v>69.53</v>
      </c>
      <c r="P27" s="693">
        <f t="shared" si="3"/>
        <v>173.82499999999999</v>
      </c>
      <c r="Q27" s="693">
        <f t="shared" si="4"/>
        <v>11.169143452800014</v>
      </c>
      <c r="R27" s="693">
        <f t="shared" si="4"/>
        <v>3.1852332675999833</v>
      </c>
      <c r="S27" s="693">
        <f t="shared" si="5"/>
        <v>14.354376720399998</v>
      </c>
      <c r="T27" s="1270"/>
      <c r="U27" s="29">
        <v>2045</v>
      </c>
      <c r="V27" s="29">
        <v>2045</v>
      </c>
      <c r="W27">
        <f t="shared" si="6"/>
        <v>34.765000000000001</v>
      </c>
      <c r="X27" s="694">
        <f t="shared" si="7"/>
        <v>139.06</v>
      </c>
      <c r="Y27">
        <f t="shared" si="10"/>
        <v>104.295</v>
      </c>
      <c r="Z27" s="694">
        <f t="shared" si="8"/>
        <v>34.765000000000001</v>
      </c>
      <c r="AA27">
        <f t="shared" si="11"/>
        <v>73.62</v>
      </c>
      <c r="AB27" s="694">
        <f t="shared" si="9"/>
        <v>69.53</v>
      </c>
    </row>
    <row r="28" spans="1:28" ht="16.5">
      <c r="A28" s="19">
        <v>15</v>
      </c>
      <c r="B28" s="699" t="s">
        <v>839</v>
      </c>
      <c r="C28" s="761">
        <v>2387.1252665780867</v>
      </c>
      <c r="D28" s="111">
        <v>2183</v>
      </c>
      <c r="E28" s="693">
        <v>123.25585582271998</v>
      </c>
      <c r="F28" s="693">
        <v>82.760504817759994</v>
      </c>
      <c r="G28" s="693">
        <f t="shared" si="0"/>
        <v>206.01636064047997</v>
      </c>
      <c r="H28" s="693">
        <v>10.05246142272</v>
      </c>
      <c r="I28" s="693">
        <v>1.6114279042399999</v>
      </c>
      <c r="J28" s="693">
        <f t="shared" si="1"/>
        <v>11.66388932696</v>
      </c>
      <c r="K28" s="693">
        <v>113.20339439999999</v>
      </c>
      <c r="L28" s="693">
        <v>76.01075019999999</v>
      </c>
      <c r="M28" s="693">
        <f t="shared" si="2"/>
        <v>189.2141446</v>
      </c>
      <c r="N28" s="693">
        <v>111.333</v>
      </c>
      <c r="O28" s="693">
        <v>74.221999999999994</v>
      </c>
      <c r="P28" s="693">
        <f t="shared" si="3"/>
        <v>185.55500000000001</v>
      </c>
      <c r="Q28" s="693">
        <f t="shared" si="4"/>
        <v>11.922855822719995</v>
      </c>
      <c r="R28" s="693">
        <f t="shared" si="4"/>
        <v>3.4001781042399983</v>
      </c>
      <c r="S28" s="693">
        <f t="shared" si="5"/>
        <v>15.323033926959994</v>
      </c>
      <c r="T28" s="1270"/>
      <c r="U28" s="29">
        <v>2183</v>
      </c>
      <c r="V28" s="29">
        <v>2183</v>
      </c>
      <c r="W28">
        <f t="shared" si="6"/>
        <v>37.110999999999997</v>
      </c>
      <c r="X28" s="694">
        <f t="shared" si="7"/>
        <v>148.44399999999999</v>
      </c>
      <c r="Y28">
        <f t="shared" si="10"/>
        <v>111.333</v>
      </c>
      <c r="Z28" s="694">
        <f t="shared" si="8"/>
        <v>37.11099999999999</v>
      </c>
      <c r="AA28">
        <f t="shared" si="11"/>
        <v>78.587999999999994</v>
      </c>
      <c r="AB28" s="694">
        <f t="shared" si="9"/>
        <v>74.221999999999994</v>
      </c>
    </row>
    <row r="29" spans="1:28" ht="16.5">
      <c r="A29" s="19">
        <v>16</v>
      </c>
      <c r="B29" s="692" t="s">
        <v>840</v>
      </c>
      <c r="C29" s="761">
        <v>883.06098984825576</v>
      </c>
      <c r="D29" s="111">
        <v>950</v>
      </c>
      <c r="E29" s="693">
        <f>0.08+56.793811392</f>
        <v>56.873811392</v>
      </c>
      <c r="F29" s="693">
        <v>38.134370735999994</v>
      </c>
      <c r="G29" s="693">
        <f t="shared" si="0"/>
        <v>95.008182127999987</v>
      </c>
      <c r="H29" s="693">
        <v>4.6319713920000005</v>
      </c>
      <c r="I29" s="693">
        <v>0.74251346400000007</v>
      </c>
      <c r="J29" s="693">
        <f t="shared" si="1"/>
        <v>5.3744848560000005</v>
      </c>
      <c r="K29" s="693">
        <v>52.161840000000005</v>
      </c>
      <c r="L29" s="693">
        <v>35.02422</v>
      </c>
      <c r="M29" s="693">
        <f t="shared" si="2"/>
        <v>87.186059999999998</v>
      </c>
      <c r="N29" s="693">
        <v>51.3</v>
      </c>
      <c r="O29" s="693">
        <v>34.200000000000003</v>
      </c>
      <c r="P29" s="693">
        <f t="shared" si="3"/>
        <v>85.5</v>
      </c>
      <c r="Q29" s="693">
        <f t="shared" si="4"/>
        <v>5.493811392000012</v>
      </c>
      <c r="R29" s="693">
        <f t="shared" si="4"/>
        <v>1.566733463999995</v>
      </c>
      <c r="S29" s="693">
        <f t="shared" si="5"/>
        <v>7.060544856000007</v>
      </c>
      <c r="T29" s="1270"/>
      <c r="U29" s="29">
        <v>950</v>
      </c>
      <c r="V29" s="29">
        <v>950</v>
      </c>
      <c r="W29">
        <f t="shared" si="6"/>
        <v>17.099999999999998</v>
      </c>
      <c r="X29" s="694">
        <f t="shared" si="7"/>
        <v>68.399999999999991</v>
      </c>
      <c r="Y29">
        <f>D29*600*9/100000</f>
        <v>51.3</v>
      </c>
      <c r="Z29" s="694">
        <f t="shared" si="8"/>
        <v>17.099999999999994</v>
      </c>
      <c r="AA29">
        <f t="shared" si="11"/>
        <v>34.200000000000003</v>
      </c>
      <c r="AB29" s="694">
        <f t="shared" si="9"/>
        <v>34.200000000000003</v>
      </c>
    </row>
    <row r="30" spans="1:28" ht="16.5">
      <c r="A30" s="19">
        <v>17</v>
      </c>
      <c r="B30" s="697" t="s">
        <v>841</v>
      </c>
      <c r="C30" s="761">
        <v>1964.8619240475114</v>
      </c>
      <c r="D30" s="111">
        <v>3361</v>
      </c>
      <c r="E30" s="693">
        <v>189.76771938624003</v>
      </c>
      <c r="F30" s="693">
        <v>127.42009010192001</v>
      </c>
      <c r="G30" s="693">
        <f t="shared" si="0"/>
        <v>317.18780948816004</v>
      </c>
      <c r="H30" s="693">
        <v>15.477014586240003</v>
      </c>
      <c r="I30" s="693">
        <v>2.4809936720800003</v>
      </c>
      <c r="J30" s="693">
        <f t="shared" si="1"/>
        <v>17.958008258320003</v>
      </c>
      <c r="K30" s="693">
        <v>174.29070480000001</v>
      </c>
      <c r="L30" s="693">
        <v>117.02800340000002</v>
      </c>
      <c r="M30" s="693">
        <f t="shared" si="2"/>
        <v>291.31870820000006</v>
      </c>
      <c r="N30" s="693">
        <v>171.411</v>
      </c>
      <c r="O30" s="693">
        <v>114.27400000000002</v>
      </c>
      <c r="P30" s="693">
        <f t="shared" si="3"/>
        <v>285.685</v>
      </c>
      <c r="Q30" s="693">
        <f t="shared" si="4"/>
        <v>18.356719386240002</v>
      </c>
      <c r="R30" s="693">
        <f t="shared" si="4"/>
        <v>5.2349970720800059</v>
      </c>
      <c r="S30" s="693">
        <f t="shared" si="5"/>
        <v>23.591716458320008</v>
      </c>
      <c r="T30" s="1270"/>
      <c r="U30" s="29">
        <v>3361</v>
      </c>
      <c r="V30" s="29">
        <v>3361</v>
      </c>
      <c r="W30">
        <f t="shared" si="6"/>
        <v>57.137</v>
      </c>
      <c r="X30" s="694">
        <f t="shared" si="7"/>
        <v>228.548</v>
      </c>
      <c r="Y30">
        <f t="shared" si="10"/>
        <v>171.411</v>
      </c>
      <c r="Z30" s="694">
        <f t="shared" si="8"/>
        <v>57.137</v>
      </c>
      <c r="AA30">
        <f t="shared" si="11"/>
        <v>120.996</v>
      </c>
      <c r="AB30" s="694">
        <f t="shared" si="9"/>
        <v>114.27400000000002</v>
      </c>
    </row>
    <row r="31" spans="1:28" ht="16.5">
      <c r="A31" s="19">
        <v>18</v>
      </c>
      <c r="B31" s="698" t="s">
        <v>842</v>
      </c>
      <c r="C31" s="761">
        <v>2500.6402276329377</v>
      </c>
      <c r="D31" s="111">
        <v>2541</v>
      </c>
      <c r="E31" s="693">
        <v>143.46913863743998</v>
      </c>
      <c r="F31" s="693">
        <v>96.332772671519976</v>
      </c>
      <c r="G31" s="693">
        <f t="shared" si="0"/>
        <v>239.80191130895997</v>
      </c>
      <c r="H31" s="693">
        <v>11.701009837440001</v>
      </c>
      <c r="I31" s="693">
        <v>1.8756932224799998</v>
      </c>
      <c r="J31" s="693">
        <f t="shared" si="1"/>
        <v>13.57670305992</v>
      </c>
      <c r="K31" s="693">
        <v>131.7681288</v>
      </c>
      <c r="L31" s="693">
        <v>88.476095399999991</v>
      </c>
      <c r="M31" s="693">
        <f t="shared" si="2"/>
        <v>220.24422419999999</v>
      </c>
      <c r="N31" s="693">
        <v>129.59100000000001</v>
      </c>
      <c r="O31" s="693">
        <v>86.394000000000005</v>
      </c>
      <c r="P31" s="693">
        <f t="shared" si="3"/>
        <v>215.98500000000001</v>
      </c>
      <c r="Q31" s="693">
        <f t="shared" si="4"/>
        <v>13.878138637440003</v>
      </c>
      <c r="R31" s="693">
        <f t="shared" si="4"/>
        <v>3.9577886224799812</v>
      </c>
      <c r="S31" s="693">
        <f t="shared" si="5"/>
        <v>17.835927259919984</v>
      </c>
      <c r="T31" s="1270"/>
      <c r="U31" s="29">
        <v>2541</v>
      </c>
      <c r="V31" s="29">
        <v>2541</v>
      </c>
      <c r="W31">
        <f t="shared" si="6"/>
        <v>43.197000000000003</v>
      </c>
      <c r="X31" s="694">
        <f t="shared" si="7"/>
        <v>172.78800000000001</v>
      </c>
      <c r="Y31">
        <f t="shared" si="10"/>
        <v>129.59100000000001</v>
      </c>
      <c r="Z31" s="694">
        <f t="shared" si="8"/>
        <v>43.197000000000003</v>
      </c>
      <c r="AA31">
        <f t="shared" si="11"/>
        <v>91.475999999999999</v>
      </c>
      <c r="AB31" s="694">
        <f t="shared" si="9"/>
        <v>86.394000000000005</v>
      </c>
    </row>
    <row r="32" spans="1:28" ht="16.5">
      <c r="A32" s="19">
        <v>19</v>
      </c>
      <c r="B32" s="699" t="s">
        <v>843</v>
      </c>
      <c r="C32" s="761">
        <v>2216.1802347003718</v>
      </c>
      <c r="D32" s="111">
        <v>2650</v>
      </c>
      <c r="E32" s="693">
        <v>149.623462176</v>
      </c>
      <c r="F32" s="693">
        <v>100.465111208</v>
      </c>
      <c r="G32" s="693">
        <f t="shared" si="0"/>
        <v>250.088573384</v>
      </c>
      <c r="H32" s="693">
        <v>12.202942176000001</v>
      </c>
      <c r="I32" s="693">
        <v>1.9561538920000001</v>
      </c>
      <c r="J32" s="693">
        <f t="shared" si="1"/>
        <v>14.159096068</v>
      </c>
      <c r="K32" s="693">
        <v>137.42052000000001</v>
      </c>
      <c r="L32" s="693">
        <v>92.271410000000003</v>
      </c>
      <c r="M32" s="693">
        <f t="shared" si="2"/>
        <v>229.69193000000001</v>
      </c>
      <c r="N32" s="693">
        <v>135.15</v>
      </c>
      <c r="O32" s="693">
        <v>90.1</v>
      </c>
      <c r="P32" s="693">
        <f t="shared" si="3"/>
        <v>225.25</v>
      </c>
      <c r="Q32" s="693">
        <f t="shared" si="4"/>
        <v>14.473462175999998</v>
      </c>
      <c r="R32" s="693">
        <f t="shared" si="4"/>
        <v>4.1275638920000119</v>
      </c>
      <c r="S32" s="693">
        <f t="shared" si="5"/>
        <v>18.60102606800001</v>
      </c>
      <c r="T32" s="1270"/>
      <c r="U32" s="29">
        <v>2650</v>
      </c>
      <c r="V32" s="29">
        <v>2650</v>
      </c>
      <c r="W32">
        <f t="shared" si="6"/>
        <v>45.050000000000004</v>
      </c>
      <c r="X32" s="694">
        <f t="shared" si="7"/>
        <v>180.20000000000002</v>
      </c>
      <c r="Y32">
        <f t="shared" si="10"/>
        <v>135.15</v>
      </c>
      <c r="Z32" s="694">
        <f t="shared" si="8"/>
        <v>45.050000000000011</v>
      </c>
      <c r="AA32">
        <f t="shared" si="11"/>
        <v>95.4</v>
      </c>
      <c r="AB32" s="694">
        <f t="shared" si="9"/>
        <v>90.1</v>
      </c>
    </row>
    <row r="33" spans="1:28" ht="16.5">
      <c r="A33" s="19">
        <v>20</v>
      </c>
      <c r="B33" s="700" t="s">
        <v>844</v>
      </c>
      <c r="C33" s="761">
        <v>3989.734940431661</v>
      </c>
      <c r="D33" s="111">
        <v>3732</v>
      </c>
      <c r="E33" s="693">
        <v>210.71500409088</v>
      </c>
      <c r="F33" s="693">
        <v>141.48520567103998</v>
      </c>
      <c r="G33" s="693">
        <f t="shared" si="0"/>
        <v>352.20020976191995</v>
      </c>
      <c r="H33" s="693">
        <v>17.185426490880001</v>
      </c>
      <c r="I33" s="693">
        <v>2.7548552169599998</v>
      </c>
      <c r="J33" s="693">
        <f t="shared" si="1"/>
        <v>19.940281707840001</v>
      </c>
      <c r="K33" s="693">
        <v>193.52957760000001</v>
      </c>
      <c r="L33" s="693">
        <v>129.94600079999998</v>
      </c>
      <c r="M33" s="693">
        <f t="shared" si="2"/>
        <v>323.47557840000002</v>
      </c>
      <c r="N33" s="693">
        <v>190.33199999999999</v>
      </c>
      <c r="O33" s="693">
        <v>126.88799999999999</v>
      </c>
      <c r="P33" s="693">
        <f t="shared" si="3"/>
        <v>317.21999999999997</v>
      </c>
      <c r="Q33" s="693">
        <f t="shared" si="4"/>
        <v>20.383004090880007</v>
      </c>
      <c r="R33" s="693">
        <f t="shared" si="4"/>
        <v>5.8128560169599979</v>
      </c>
      <c r="S33" s="693">
        <f t="shared" si="5"/>
        <v>26.195860107840005</v>
      </c>
      <c r="T33" s="1270"/>
      <c r="U33" s="29">
        <v>3732</v>
      </c>
      <c r="V33" s="29">
        <v>3732</v>
      </c>
      <c r="W33">
        <f t="shared" si="6"/>
        <v>63.443999999999996</v>
      </c>
      <c r="X33" s="694">
        <f t="shared" si="7"/>
        <v>253.77599999999998</v>
      </c>
      <c r="Y33">
        <f t="shared" si="10"/>
        <v>190.33199999999999</v>
      </c>
      <c r="Z33" s="694">
        <f t="shared" si="8"/>
        <v>63.443999999999988</v>
      </c>
      <c r="AA33">
        <f t="shared" si="11"/>
        <v>134.352</v>
      </c>
      <c r="AB33" s="694">
        <f t="shared" si="9"/>
        <v>126.88799999999999</v>
      </c>
    </row>
    <row r="34" spans="1:28" ht="16.5">
      <c r="A34" s="19">
        <v>21</v>
      </c>
      <c r="B34" s="692" t="s">
        <v>845</v>
      </c>
      <c r="C34" s="761">
        <v>4050.6207125325409</v>
      </c>
      <c r="D34" s="111">
        <v>4149</v>
      </c>
      <c r="E34" s="693">
        <v>234.25952625215999</v>
      </c>
      <c r="F34" s="693">
        <v>151.71904352527997</v>
      </c>
      <c r="G34" s="693">
        <f t="shared" si="0"/>
        <v>385.97856977743993</v>
      </c>
      <c r="H34" s="693">
        <v>19.105663052160004</v>
      </c>
      <c r="I34" s="693">
        <v>2.9541180407199992</v>
      </c>
      <c r="J34" s="693">
        <f t="shared" si="1"/>
        <v>22.059781092880002</v>
      </c>
      <c r="K34" s="693">
        <v>215.15386320000002</v>
      </c>
      <c r="L34" s="693">
        <v>139.34519059999997</v>
      </c>
      <c r="M34" s="693">
        <f t="shared" si="2"/>
        <v>354.49905379999996</v>
      </c>
      <c r="N34" s="693">
        <v>211.59899999999999</v>
      </c>
      <c r="O34" s="693">
        <v>136.06599999999997</v>
      </c>
      <c r="P34" s="693">
        <f t="shared" si="3"/>
        <v>347.66499999999996</v>
      </c>
      <c r="Q34" s="693">
        <f t="shared" si="4"/>
        <v>22.660526252160025</v>
      </c>
      <c r="R34" s="693">
        <f t="shared" si="4"/>
        <v>6.2333086407199971</v>
      </c>
      <c r="S34" s="693">
        <f t="shared" si="5"/>
        <v>28.893834892880022</v>
      </c>
      <c r="T34" s="1270"/>
      <c r="U34" s="29">
        <v>4149</v>
      </c>
      <c r="V34" s="29">
        <v>4149</v>
      </c>
      <c r="W34">
        <f t="shared" si="6"/>
        <v>70.533000000000001</v>
      </c>
      <c r="X34" s="694">
        <f t="shared" si="7"/>
        <v>282.13200000000001</v>
      </c>
      <c r="Y34">
        <f t="shared" si="10"/>
        <v>211.59899999999999</v>
      </c>
      <c r="Z34" s="694">
        <f t="shared" si="8"/>
        <v>70.533000000000015</v>
      </c>
      <c r="AA34">
        <f t="shared" si="11"/>
        <v>149.364</v>
      </c>
      <c r="AB34" s="694">
        <f>N34*40/60-5</f>
        <v>136.06599999999997</v>
      </c>
    </row>
    <row r="35" spans="1:28" ht="15.75">
      <c r="A35" s="19">
        <v>22</v>
      </c>
      <c r="B35" s="701" t="s">
        <v>846</v>
      </c>
      <c r="C35" s="761">
        <v>3101.8786829323308</v>
      </c>
      <c r="D35" s="111">
        <v>2645</v>
      </c>
      <c r="E35" s="693">
        <v>149.34115375680003</v>
      </c>
      <c r="F35" s="693">
        <v>100.2755543944</v>
      </c>
      <c r="G35" s="693">
        <f t="shared" si="0"/>
        <v>249.61670815120004</v>
      </c>
      <c r="H35" s="693">
        <v>12.179917756800002</v>
      </c>
      <c r="I35" s="693">
        <v>1.9524630356000003</v>
      </c>
      <c r="J35" s="693">
        <f t="shared" si="1"/>
        <v>14.132380792400003</v>
      </c>
      <c r="K35" s="693">
        <v>137.16123600000003</v>
      </c>
      <c r="L35" s="693">
        <v>92.097313000000014</v>
      </c>
      <c r="M35" s="693">
        <f t="shared" si="2"/>
        <v>229.25854900000004</v>
      </c>
      <c r="N35" s="693">
        <v>134.89500000000001</v>
      </c>
      <c r="O35" s="693">
        <v>89.93</v>
      </c>
      <c r="P35" s="693">
        <f t="shared" si="3"/>
        <v>224.82500000000002</v>
      </c>
      <c r="Q35" s="693">
        <f t="shared" si="4"/>
        <v>14.446153756800015</v>
      </c>
      <c r="R35" s="693">
        <f t="shared" si="4"/>
        <v>4.1197760356000117</v>
      </c>
      <c r="S35" s="693">
        <f t="shared" si="5"/>
        <v>18.565929792400027</v>
      </c>
      <c r="T35" s="1270"/>
      <c r="U35" s="29">
        <v>2645</v>
      </c>
      <c r="V35" s="29">
        <v>2645</v>
      </c>
      <c r="W35">
        <f t="shared" si="6"/>
        <v>44.965000000000003</v>
      </c>
      <c r="X35" s="694">
        <f t="shared" si="7"/>
        <v>179.86</v>
      </c>
      <c r="Y35">
        <f t="shared" si="10"/>
        <v>134.89500000000001</v>
      </c>
      <c r="Z35" s="694">
        <f t="shared" si="8"/>
        <v>44.965000000000003</v>
      </c>
      <c r="AA35">
        <f t="shared" si="11"/>
        <v>95.22</v>
      </c>
      <c r="AB35" s="694">
        <f t="shared" si="9"/>
        <v>89.93</v>
      </c>
    </row>
    <row r="36" spans="1:28" ht="16.5">
      <c r="A36" s="19">
        <v>23</v>
      </c>
      <c r="B36" s="692" t="s">
        <v>847</v>
      </c>
      <c r="C36" s="761">
        <v>2628.2798651198623</v>
      </c>
      <c r="D36" s="111">
        <v>2899</v>
      </c>
      <c r="E36" s="693">
        <v>163.68242145215999</v>
      </c>
      <c r="F36" s="693">
        <v>109.90504052527999</v>
      </c>
      <c r="G36" s="693">
        <f t="shared" si="0"/>
        <v>273.58746197743994</v>
      </c>
      <c r="H36" s="693">
        <v>13.34955825216</v>
      </c>
      <c r="I36" s="693">
        <v>2.1399585407199999</v>
      </c>
      <c r="J36" s="693">
        <f t="shared" si="1"/>
        <v>15.48951679288</v>
      </c>
      <c r="K36" s="693">
        <v>150.33286319999999</v>
      </c>
      <c r="L36" s="693">
        <v>100.94144059999999</v>
      </c>
      <c r="M36" s="693">
        <f t="shared" si="2"/>
        <v>251.27430379999998</v>
      </c>
      <c r="N36" s="693">
        <v>147.84899999999999</v>
      </c>
      <c r="O36" s="693">
        <v>98.565999999999988</v>
      </c>
      <c r="P36" s="693">
        <f t="shared" si="3"/>
        <v>246.41499999999996</v>
      </c>
      <c r="Q36" s="693">
        <f t="shared" si="4"/>
        <v>15.833421452159996</v>
      </c>
      <c r="R36" s="693">
        <f t="shared" si="4"/>
        <v>4.5153991407200067</v>
      </c>
      <c r="S36" s="693">
        <f t="shared" si="5"/>
        <v>20.348820592880003</v>
      </c>
      <c r="T36" s="1270"/>
      <c r="U36" s="29">
        <v>2899</v>
      </c>
      <c r="V36" s="29">
        <v>2899</v>
      </c>
      <c r="W36">
        <f t="shared" si="6"/>
        <v>49.282999999999994</v>
      </c>
      <c r="X36" s="694">
        <f t="shared" si="7"/>
        <v>197.13199999999998</v>
      </c>
      <c r="Y36">
        <f t="shared" si="10"/>
        <v>147.84899999999999</v>
      </c>
      <c r="Z36" s="694">
        <f t="shared" si="8"/>
        <v>49.282999999999987</v>
      </c>
      <c r="AA36">
        <f t="shared" si="11"/>
        <v>104.364</v>
      </c>
      <c r="AB36" s="694">
        <f t="shared" si="9"/>
        <v>98.565999999999988</v>
      </c>
    </row>
    <row r="37" spans="1:28" ht="16.5">
      <c r="A37" s="19">
        <v>24</v>
      </c>
      <c r="B37" s="692" t="s">
        <v>848</v>
      </c>
      <c r="C37" s="761">
        <v>1434.2057839762856</v>
      </c>
      <c r="D37" s="111">
        <v>2323</v>
      </c>
      <c r="E37" s="693">
        <v>131.16049156032</v>
      </c>
      <c r="F37" s="693">
        <v>88.068095598559992</v>
      </c>
      <c r="G37" s="693">
        <f t="shared" si="0"/>
        <v>219.22858715887998</v>
      </c>
      <c r="H37" s="693">
        <v>10.697145160320002</v>
      </c>
      <c r="I37" s="693">
        <v>1.7147718834400001</v>
      </c>
      <c r="J37" s="693">
        <f t="shared" si="1"/>
        <v>12.411917043760003</v>
      </c>
      <c r="K37" s="693">
        <v>120.46334640000001</v>
      </c>
      <c r="L37" s="693">
        <v>80.885466199999996</v>
      </c>
      <c r="M37" s="693">
        <f t="shared" si="2"/>
        <v>201.3488126</v>
      </c>
      <c r="N37" s="693">
        <v>118.473</v>
      </c>
      <c r="O37" s="693">
        <v>78.981999999999999</v>
      </c>
      <c r="P37" s="693">
        <f t="shared" si="3"/>
        <v>197.45499999999998</v>
      </c>
      <c r="Q37" s="693">
        <f t="shared" si="4"/>
        <v>12.687491560319998</v>
      </c>
      <c r="R37" s="693">
        <f t="shared" si="4"/>
        <v>3.6182380834399908</v>
      </c>
      <c r="S37" s="693">
        <f t="shared" si="5"/>
        <v>16.305729643759989</v>
      </c>
      <c r="T37" s="1270"/>
      <c r="U37" s="29">
        <v>2323</v>
      </c>
      <c r="V37" s="29">
        <v>2323</v>
      </c>
      <c r="W37">
        <f t="shared" si="6"/>
        <v>39.491</v>
      </c>
      <c r="X37" s="694">
        <f t="shared" si="7"/>
        <v>157.964</v>
      </c>
      <c r="Y37">
        <f t="shared" si="10"/>
        <v>118.473</v>
      </c>
      <c r="Z37" s="694">
        <f t="shared" si="8"/>
        <v>39.491</v>
      </c>
      <c r="AA37">
        <f t="shared" si="11"/>
        <v>83.628</v>
      </c>
      <c r="AB37" s="694">
        <f t="shared" si="9"/>
        <v>78.981999999999999</v>
      </c>
    </row>
    <row r="38" spans="1:28" ht="16.5">
      <c r="A38" s="19">
        <v>25</v>
      </c>
      <c r="B38" s="692" t="s">
        <v>849</v>
      </c>
      <c r="C38" s="761">
        <v>823.64389308352395</v>
      </c>
      <c r="D38" s="111">
        <v>800</v>
      </c>
      <c r="E38" s="693">
        <v>47.826367488000017</v>
      </c>
      <c r="F38" s="693">
        <v>32.113154303999998</v>
      </c>
      <c r="G38" s="693">
        <f t="shared" si="0"/>
        <v>79.939521792000022</v>
      </c>
      <c r="H38" s="693">
        <v>3.9006074880000012</v>
      </c>
      <c r="I38" s="693">
        <v>0.62527449600000007</v>
      </c>
      <c r="J38" s="693">
        <f t="shared" si="1"/>
        <v>4.5258819840000015</v>
      </c>
      <c r="K38" s="693">
        <v>43.925760000000011</v>
      </c>
      <c r="L38" s="693">
        <v>29.49408</v>
      </c>
      <c r="M38" s="693">
        <f t="shared" si="2"/>
        <v>73.419840000000008</v>
      </c>
      <c r="N38" s="693">
        <v>43.2</v>
      </c>
      <c r="O38" s="693">
        <v>28.8</v>
      </c>
      <c r="P38" s="693">
        <f t="shared" si="3"/>
        <v>72</v>
      </c>
      <c r="Q38" s="693">
        <f t="shared" si="4"/>
        <v>4.6263674880000067</v>
      </c>
      <c r="R38" s="693">
        <f t="shared" si="4"/>
        <v>1.319354495999999</v>
      </c>
      <c r="S38" s="693">
        <f t="shared" si="5"/>
        <v>5.9457219840000057</v>
      </c>
      <c r="T38" s="1270"/>
      <c r="U38" s="29">
        <v>800</v>
      </c>
      <c r="V38" s="29">
        <v>800</v>
      </c>
      <c r="W38">
        <f t="shared" si="6"/>
        <v>14.4</v>
      </c>
      <c r="X38" s="694">
        <f t="shared" si="7"/>
        <v>57.6</v>
      </c>
      <c r="Y38">
        <f>D38*600*9/100000</f>
        <v>43.2</v>
      </c>
      <c r="Z38" s="694">
        <f t="shared" si="8"/>
        <v>14.399999999999999</v>
      </c>
      <c r="AA38">
        <f t="shared" si="11"/>
        <v>28.8</v>
      </c>
      <c r="AB38" s="694">
        <f t="shared" si="9"/>
        <v>28.8</v>
      </c>
    </row>
    <row r="39" spans="1:28" ht="16.5">
      <c r="A39" s="19">
        <v>26</v>
      </c>
      <c r="B39" s="692" t="s">
        <v>850</v>
      </c>
      <c r="C39" s="761">
        <v>1803.001556998759</v>
      </c>
      <c r="D39" s="111">
        <v>2564</v>
      </c>
      <c r="E39" s="693">
        <v>144.76775736576002</v>
      </c>
      <c r="F39" s="693">
        <v>97.204734014079989</v>
      </c>
      <c r="G39" s="693">
        <f t="shared" si="0"/>
        <v>241.97249137983999</v>
      </c>
      <c r="H39" s="693">
        <v>11.806922165760001</v>
      </c>
      <c r="I39" s="693">
        <v>1.8926711619199998</v>
      </c>
      <c r="J39" s="693">
        <f t="shared" si="1"/>
        <v>13.699593327680001</v>
      </c>
      <c r="K39" s="693">
        <v>132.96083520000002</v>
      </c>
      <c r="L39" s="693">
        <v>89.276941599999986</v>
      </c>
      <c r="M39" s="693">
        <f t="shared" si="2"/>
        <v>222.23777680000001</v>
      </c>
      <c r="N39" s="693">
        <v>130.76400000000001</v>
      </c>
      <c r="O39" s="693">
        <v>87.176000000000002</v>
      </c>
      <c r="P39" s="693">
        <f t="shared" si="3"/>
        <v>217.94</v>
      </c>
      <c r="Q39" s="693">
        <f t="shared" si="4"/>
        <v>14.003757365760009</v>
      </c>
      <c r="R39" s="693">
        <f t="shared" si="4"/>
        <v>3.9936127619199908</v>
      </c>
      <c r="S39" s="693">
        <f t="shared" si="5"/>
        <v>17.99737012768</v>
      </c>
      <c r="T39" s="1270"/>
      <c r="U39" s="29">
        <v>2564</v>
      </c>
      <c r="V39" s="29">
        <v>2564</v>
      </c>
      <c r="W39">
        <f t="shared" si="6"/>
        <v>43.588000000000001</v>
      </c>
      <c r="X39" s="694">
        <f t="shared" si="7"/>
        <v>174.352</v>
      </c>
      <c r="Y39">
        <f t="shared" si="10"/>
        <v>130.76400000000001</v>
      </c>
      <c r="Z39" s="694">
        <f t="shared" si="8"/>
        <v>43.587999999999994</v>
      </c>
      <c r="AA39">
        <f t="shared" si="11"/>
        <v>92.304000000000002</v>
      </c>
      <c r="AB39" s="694">
        <f t="shared" si="9"/>
        <v>87.176000000000002</v>
      </c>
    </row>
    <row r="40" spans="1:28" ht="16.5">
      <c r="A40" s="19">
        <v>27</v>
      </c>
      <c r="B40" s="692" t="s">
        <v>851</v>
      </c>
      <c r="C40" s="761">
        <v>3716.019383436987</v>
      </c>
      <c r="D40" s="111">
        <v>3556</v>
      </c>
      <c r="E40" s="693">
        <v>199.84779058944002</v>
      </c>
      <c r="F40" s="693">
        <v>134.18838338751999</v>
      </c>
      <c r="G40" s="693">
        <f t="shared" si="0"/>
        <v>334.03617397696001</v>
      </c>
      <c r="H40" s="693">
        <v>16.299121789440001</v>
      </c>
      <c r="I40" s="693">
        <v>2.6127789564800001</v>
      </c>
      <c r="J40" s="693">
        <f t="shared" si="1"/>
        <v>18.911900745920001</v>
      </c>
      <c r="K40" s="693">
        <v>183.5486688</v>
      </c>
      <c r="L40" s="693">
        <v>123.2442904</v>
      </c>
      <c r="M40" s="693">
        <f t="shared" si="2"/>
        <v>306.79295919999998</v>
      </c>
      <c r="N40" s="693">
        <v>180.51599999999999</v>
      </c>
      <c r="O40" s="693">
        <v>120.34399999999999</v>
      </c>
      <c r="P40" s="693">
        <f t="shared" si="3"/>
        <v>300.86</v>
      </c>
      <c r="Q40" s="693">
        <f t="shared" si="4"/>
        <v>19.331790589440004</v>
      </c>
      <c r="R40" s="693">
        <f t="shared" si="4"/>
        <v>5.5130693564800026</v>
      </c>
      <c r="S40" s="693">
        <f t="shared" si="5"/>
        <v>24.844859945920007</v>
      </c>
      <c r="T40" s="1270"/>
      <c r="U40" s="29">
        <v>3556</v>
      </c>
      <c r="V40" s="29">
        <v>3556</v>
      </c>
      <c r="W40">
        <f t="shared" si="6"/>
        <v>60.171999999999997</v>
      </c>
      <c r="X40" s="694">
        <f t="shared" si="7"/>
        <v>240.68799999999999</v>
      </c>
      <c r="Y40">
        <f>D40*600*8.5/100000-0.84</f>
        <v>180.51599999999999</v>
      </c>
      <c r="Z40" s="694">
        <f t="shared" si="8"/>
        <v>60.171999999999997</v>
      </c>
      <c r="AA40">
        <f t="shared" si="11"/>
        <v>128.01599999999999</v>
      </c>
      <c r="AB40" s="694">
        <f t="shared" si="9"/>
        <v>120.34399999999999</v>
      </c>
    </row>
    <row r="41" spans="1:28" ht="16.5">
      <c r="A41" s="19">
        <v>28</v>
      </c>
      <c r="B41" s="698" t="s">
        <v>852</v>
      </c>
      <c r="C41" s="761">
        <v>1760.3268163597995</v>
      </c>
      <c r="D41" s="111">
        <v>873</v>
      </c>
      <c r="E41" s="693">
        <v>52.51716352127999</v>
      </c>
      <c r="F41" s="693">
        <f>35.04347963424+0.02</f>
        <v>35.063479634240004</v>
      </c>
      <c r="G41" s="693">
        <f t="shared" si="0"/>
        <v>87.580643155519994</v>
      </c>
      <c r="H41" s="693">
        <v>4.2831779212800001</v>
      </c>
      <c r="I41" s="693">
        <v>0.7</v>
      </c>
      <c r="J41" s="693">
        <f t="shared" si="1"/>
        <v>4.9831779212800003</v>
      </c>
      <c r="K41" s="693">
        <f>47.9339856+0.3</f>
        <v>48.233985599999997</v>
      </c>
      <c r="L41" s="693">
        <v>32.185414799999997</v>
      </c>
      <c r="M41" s="693">
        <f t="shared" si="2"/>
        <v>80.419400400000001</v>
      </c>
      <c r="N41" s="693">
        <v>47.142000000000003</v>
      </c>
      <c r="O41" s="693">
        <v>31.428000000000001</v>
      </c>
      <c r="P41" s="693">
        <f t="shared" si="3"/>
        <v>78.570000000000007</v>
      </c>
      <c r="Q41" s="693">
        <f t="shared" si="4"/>
        <v>5.375163521279994</v>
      </c>
      <c r="R41" s="693">
        <f t="shared" si="4"/>
        <v>1.4574147999999987</v>
      </c>
      <c r="S41" s="693">
        <f t="shared" si="5"/>
        <v>6.8325783212799927</v>
      </c>
      <c r="T41" s="1270"/>
      <c r="U41" s="29">
        <v>873</v>
      </c>
      <c r="V41" s="29">
        <v>873</v>
      </c>
      <c r="W41">
        <f t="shared" si="6"/>
        <v>15.714</v>
      </c>
      <c r="X41" s="694">
        <f t="shared" si="7"/>
        <v>62.856000000000002</v>
      </c>
      <c r="Y41">
        <f>D41*600*9/100000</f>
        <v>47.142000000000003</v>
      </c>
      <c r="Z41" s="694">
        <f t="shared" si="8"/>
        <v>15.713999999999999</v>
      </c>
      <c r="AA41">
        <f t="shared" si="11"/>
        <v>31.428000000000001</v>
      </c>
      <c r="AB41" s="694">
        <f t="shared" si="9"/>
        <v>31.428000000000001</v>
      </c>
    </row>
    <row r="42" spans="1:28" ht="16.5" customHeight="1">
      <c r="A42" s="19">
        <v>29</v>
      </c>
      <c r="B42" s="702" t="s">
        <v>853</v>
      </c>
      <c r="C42" s="761">
        <v>3633.5994573530888</v>
      </c>
      <c r="D42" s="111">
        <v>3776</v>
      </c>
      <c r="E42" s="693">
        <v>213.19931817984002</v>
      </c>
      <c r="F42" s="693">
        <v>137.57810523071998</v>
      </c>
      <c r="G42" s="693">
        <f t="shared" si="0"/>
        <v>350.77742341056</v>
      </c>
      <c r="H42" s="693">
        <v>17.388041379840001</v>
      </c>
      <c r="I42" s="693">
        <v>2.67878015328</v>
      </c>
      <c r="J42" s="693">
        <f t="shared" si="1"/>
        <v>20.066821533119999</v>
      </c>
      <c r="K42" s="693">
        <v>195.8112768</v>
      </c>
      <c r="L42" s="693">
        <v>126.35755439999998</v>
      </c>
      <c r="M42" s="693">
        <f t="shared" si="2"/>
        <v>322.1688312</v>
      </c>
      <c r="N42" s="693">
        <v>192.57599999999999</v>
      </c>
      <c r="O42" s="693">
        <v>123.38399999999999</v>
      </c>
      <c r="P42" s="693">
        <f t="shared" si="3"/>
        <v>315.95999999999998</v>
      </c>
      <c r="Q42" s="693">
        <f t="shared" si="4"/>
        <v>20.623318179839998</v>
      </c>
      <c r="R42" s="693">
        <f t="shared" si="4"/>
        <v>5.6523345532799851</v>
      </c>
      <c r="S42" s="693">
        <f t="shared" si="5"/>
        <v>26.275652733119983</v>
      </c>
      <c r="T42" s="1270"/>
      <c r="U42" s="29">
        <v>3776</v>
      </c>
      <c r="V42" s="29">
        <v>3776</v>
      </c>
      <c r="W42">
        <f t="shared" si="6"/>
        <v>64.191999999999993</v>
      </c>
      <c r="X42" s="694">
        <f t="shared" si="7"/>
        <v>256.76799999999997</v>
      </c>
      <c r="Y42">
        <f t="shared" si="10"/>
        <v>192.57599999999999</v>
      </c>
      <c r="Z42" s="694">
        <f t="shared" si="8"/>
        <v>64.191999999999979</v>
      </c>
      <c r="AA42">
        <f t="shared" si="11"/>
        <v>135.93600000000001</v>
      </c>
      <c r="AB42" s="694">
        <f>N42*40/60-5</f>
        <v>123.38399999999999</v>
      </c>
    </row>
    <row r="43" spans="1:28" ht="33">
      <c r="A43" s="19">
        <v>30</v>
      </c>
      <c r="B43" s="702" t="s">
        <v>854</v>
      </c>
      <c r="C43" s="761">
        <v>372.41596230502114</v>
      </c>
      <c r="D43" s="111">
        <v>1960</v>
      </c>
      <c r="E43" s="693">
        <v>110.6649003264</v>
      </c>
      <c r="F43" s="693">
        <v>74.30627093119999</v>
      </c>
      <c r="G43" s="693">
        <f t="shared" si="0"/>
        <v>184.97117125759999</v>
      </c>
      <c r="H43" s="693">
        <v>9.0255723264000025</v>
      </c>
      <c r="I43" s="693">
        <v>1.4468157087999998</v>
      </c>
      <c r="J43" s="693">
        <f t="shared" si="1"/>
        <v>10.472388035200002</v>
      </c>
      <c r="K43" s="693">
        <v>101.63932800000001</v>
      </c>
      <c r="L43" s="693">
        <v>68.246023999999991</v>
      </c>
      <c r="M43" s="693">
        <f t="shared" si="2"/>
        <v>169.88535200000001</v>
      </c>
      <c r="N43" s="693">
        <v>99.96</v>
      </c>
      <c r="O43" s="693">
        <v>66.64</v>
      </c>
      <c r="P43" s="693">
        <f t="shared" si="3"/>
        <v>166.6</v>
      </c>
      <c r="Q43" s="693">
        <f t="shared" si="4"/>
        <v>10.704900326400022</v>
      </c>
      <c r="R43" s="693">
        <f t="shared" si="4"/>
        <v>3.0528397087999934</v>
      </c>
      <c r="S43" s="693">
        <f t="shared" si="5"/>
        <v>13.757740035200015</v>
      </c>
      <c r="T43" s="1270"/>
      <c r="U43" s="29">
        <v>1960</v>
      </c>
      <c r="V43" s="29">
        <v>1960</v>
      </c>
      <c r="W43">
        <f t="shared" si="6"/>
        <v>33.32</v>
      </c>
      <c r="X43" s="694">
        <f t="shared" si="7"/>
        <v>133.28</v>
      </c>
      <c r="Y43">
        <f t="shared" si="10"/>
        <v>99.96</v>
      </c>
      <c r="Z43" s="694">
        <f t="shared" si="8"/>
        <v>33.320000000000007</v>
      </c>
      <c r="AA43">
        <f t="shared" si="11"/>
        <v>70.56</v>
      </c>
      <c r="AB43" s="694">
        <f t="shared" si="9"/>
        <v>66.64</v>
      </c>
    </row>
    <row r="44" spans="1:28" ht="16.5">
      <c r="A44" s="19">
        <v>31</v>
      </c>
      <c r="B44" s="703" t="s">
        <v>855</v>
      </c>
      <c r="C44" s="761">
        <v>1843.7642723953506</v>
      </c>
      <c r="D44" s="111">
        <v>1794</v>
      </c>
      <c r="E44" s="693">
        <v>101.29226080896002</v>
      </c>
      <c r="F44" s="693">
        <v>67.925880719679995</v>
      </c>
      <c r="G44" s="693">
        <f t="shared" si="0"/>
        <v>169.21814152864002</v>
      </c>
      <c r="H44" s="693">
        <v>8.261161608960002</v>
      </c>
      <c r="I44" s="693">
        <v>1.42</v>
      </c>
      <c r="J44" s="693">
        <f t="shared" si="1"/>
        <v>9.6811616089600019</v>
      </c>
      <c r="K44" s="693">
        <v>93.031099200000014</v>
      </c>
      <c r="L44" s="693">
        <f>62.4660036-0.08</f>
        <v>62.386003600000002</v>
      </c>
      <c r="M44" s="693">
        <f t="shared" si="2"/>
        <v>155.41710280000001</v>
      </c>
      <c r="N44" s="693">
        <v>91.494</v>
      </c>
      <c r="O44" s="693">
        <v>60.996000000000002</v>
      </c>
      <c r="P44" s="693">
        <f t="shared" si="3"/>
        <v>152.49</v>
      </c>
      <c r="Q44" s="693">
        <f t="shared" si="4"/>
        <v>9.7982608089600092</v>
      </c>
      <c r="R44" s="693">
        <f t="shared" si="4"/>
        <v>2.8100036000000017</v>
      </c>
      <c r="S44" s="693">
        <f t="shared" si="5"/>
        <v>12.608264408960011</v>
      </c>
      <c r="T44" s="1270"/>
      <c r="U44" s="29">
        <v>1794</v>
      </c>
      <c r="V44" s="29">
        <v>1794</v>
      </c>
      <c r="W44">
        <f t="shared" si="6"/>
        <v>30.498000000000001</v>
      </c>
      <c r="X44" s="694">
        <f t="shared" si="7"/>
        <v>121.992</v>
      </c>
      <c r="Y44">
        <f t="shared" si="10"/>
        <v>91.494</v>
      </c>
      <c r="Z44" s="694">
        <f t="shared" si="8"/>
        <v>30.498000000000005</v>
      </c>
      <c r="AA44">
        <f t="shared" si="11"/>
        <v>64.584000000000003</v>
      </c>
      <c r="AB44" s="694">
        <f t="shared" si="9"/>
        <v>60.996000000000002</v>
      </c>
    </row>
    <row r="45" spans="1:28" ht="16.5">
      <c r="A45" s="19">
        <v>32</v>
      </c>
      <c r="B45" s="702" t="s">
        <v>856</v>
      </c>
      <c r="C45" s="761">
        <v>3256.0958452898026</v>
      </c>
      <c r="D45" s="111">
        <v>3209</v>
      </c>
      <c r="E45" s="693">
        <v>181.18554344255998</v>
      </c>
      <c r="F45" s="693">
        <v>121.65756296847999</v>
      </c>
      <c r="G45" s="693">
        <f t="shared" si="0"/>
        <v>302.84310641103997</v>
      </c>
      <c r="H45" s="693">
        <v>14.777072242560001</v>
      </c>
      <c r="I45" s="693">
        <v>2.3687916375200002</v>
      </c>
      <c r="J45" s="693">
        <f t="shared" si="1"/>
        <v>17.14586388008</v>
      </c>
      <c r="K45" s="693">
        <v>166.40847119999998</v>
      </c>
      <c r="L45" s="693">
        <v>111.7354546</v>
      </c>
      <c r="M45" s="693">
        <f t="shared" si="2"/>
        <v>278.14392579999998</v>
      </c>
      <c r="N45" s="693">
        <v>163.65899999999999</v>
      </c>
      <c r="O45" s="693">
        <v>109.10599999999999</v>
      </c>
      <c r="P45" s="693">
        <f t="shared" si="3"/>
        <v>272.76499999999999</v>
      </c>
      <c r="Q45" s="693">
        <f t="shared" si="4"/>
        <v>17.526543442559984</v>
      </c>
      <c r="R45" s="693">
        <f t="shared" si="4"/>
        <v>4.9982462375200072</v>
      </c>
      <c r="S45" s="693">
        <f t="shared" si="5"/>
        <v>22.524789680079991</v>
      </c>
      <c r="T45" s="1270"/>
      <c r="U45" s="29">
        <v>3209</v>
      </c>
      <c r="V45" s="29">
        <v>3209</v>
      </c>
      <c r="W45">
        <f t="shared" si="6"/>
        <v>54.552999999999997</v>
      </c>
      <c r="X45" s="694">
        <f t="shared" si="7"/>
        <v>218.21199999999999</v>
      </c>
      <c r="Y45">
        <f t="shared" si="10"/>
        <v>163.65899999999999</v>
      </c>
      <c r="Z45" s="694">
        <f t="shared" si="8"/>
        <v>54.552999999999997</v>
      </c>
      <c r="AA45">
        <f t="shared" si="11"/>
        <v>115.524</v>
      </c>
      <c r="AB45" s="694">
        <f t="shared" si="9"/>
        <v>109.10599999999999</v>
      </c>
    </row>
    <row r="46" spans="1:28" ht="16.5">
      <c r="A46" s="19">
        <v>33</v>
      </c>
      <c r="B46" s="702" t="s">
        <v>857</v>
      </c>
      <c r="C46" s="761">
        <v>1752.1865767465749</v>
      </c>
      <c r="D46" s="111">
        <v>1635</v>
      </c>
      <c r="E46" s="693">
        <v>92.314853078400006</v>
      </c>
      <c r="F46" s="693">
        <v>61.985078047200005</v>
      </c>
      <c r="G46" s="693">
        <f t="shared" si="0"/>
        <v>154.29993112560001</v>
      </c>
      <c r="H46" s="693">
        <v>7.54</v>
      </c>
      <c r="I46" s="693">
        <v>1.2069100428000001</v>
      </c>
      <c r="J46" s="693">
        <f t="shared" si="1"/>
        <v>8.7469100427999997</v>
      </c>
      <c r="K46" s="693">
        <v>84.85</v>
      </c>
      <c r="L46" s="693">
        <v>56.929719000000006</v>
      </c>
      <c r="M46" s="693">
        <f t="shared" si="2"/>
        <v>141.779719</v>
      </c>
      <c r="N46" s="693">
        <v>83.385000000000005</v>
      </c>
      <c r="O46" s="693">
        <v>55.59</v>
      </c>
      <c r="P46" s="693">
        <f t="shared" si="3"/>
        <v>138.97500000000002</v>
      </c>
      <c r="Q46" s="693">
        <f t="shared" si="4"/>
        <v>9.0049999999999955</v>
      </c>
      <c r="R46" s="693">
        <f t="shared" si="4"/>
        <v>2.5466290427999994</v>
      </c>
      <c r="S46" s="693">
        <f t="shared" si="5"/>
        <v>11.551629042799995</v>
      </c>
      <c r="T46" s="1271"/>
      <c r="U46" s="29">
        <v>1635</v>
      </c>
      <c r="V46" s="29">
        <v>1635</v>
      </c>
      <c r="W46">
        <f t="shared" si="6"/>
        <v>27.795000000000002</v>
      </c>
      <c r="X46" s="694">
        <f t="shared" si="7"/>
        <v>111.18</v>
      </c>
      <c r="Y46">
        <f t="shared" si="10"/>
        <v>83.385000000000005</v>
      </c>
      <c r="Z46" s="694">
        <f t="shared" si="8"/>
        <v>27.795000000000002</v>
      </c>
      <c r="AA46">
        <f t="shared" si="11"/>
        <v>58.86</v>
      </c>
      <c r="AB46" s="694">
        <f t="shared" si="9"/>
        <v>55.59</v>
      </c>
    </row>
    <row r="47" spans="1:28" ht="15.75">
      <c r="A47" s="29" t="s">
        <v>18</v>
      </c>
      <c r="B47" s="9"/>
      <c r="C47" s="761">
        <f>SUM(C14:C46)</f>
        <v>91131.05370306244</v>
      </c>
      <c r="D47" s="761">
        <f>SUM(D14:D46)</f>
        <v>96329</v>
      </c>
      <c r="E47" s="693">
        <f>SUM(E14:E46)</f>
        <v>5467.8649379116796</v>
      </c>
      <c r="F47" s="693">
        <f t="shared" ref="F47:M47" si="12">SUM(F14:F46)</f>
        <v>3645.2382794571731</v>
      </c>
      <c r="G47" s="693">
        <f t="shared" si="12"/>
        <v>9113.1032173688527</v>
      </c>
      <c r="H47" s="693">
        <f>SUM(H14:H46)</f>
        <v>445.95085923328008</v>
      </c>
      <c r="I47" s="693">
        <f t="shared" si="12"/>
        <v>71.091048020746697</v>
      </c>
      <c r="J47" s="693">
        <f t="shared" si="12"/>
        <v>517.04190725402668</v>
      </c>
      <c r="K47" s="693">
        <f>SUM(K14:K46)</f>
        <v>5021.9092256000013</v>
      </c>
      <c r="L47" s="693">
        <f>SUM(L14:L46)</f>
        <v>3347.9227401333342</v>
      </c>
      <c r="M47" s="693">
        <f t="shared" si="12"/>
        <v>8369.8319657333323</v>
      </c>
      <c r="N47" s="693">
        <f>SUM(N14:N46)</f>
        <v>4938.5770000000002</v>
      </c>
      <c r="O47" s="693">
        <f t="shared" ref="O47:R47" si="13">SUM(O14:O46)</f>
        <v>3269.2146666666658</v>
      </c>
      <c r="P47" s="693">
        <f t="shared" si="13"/>
        <v>8207.7916666666661</v>
      </c>
      <c r="Q47" s="693">
        <f>SUM(Q14:Q46)</f>
        <v>529.28308483328033</v>
      </c>
      <c r="R47" s="693">
        <f t="shared" si="13"/>
        <v>149.79912148741326</v>
      </c>
      <c r="S47" s="693">
        <f>SUM(S14:S46)</f>
        <v>679.08220632069344</v>
      </c>
      <c r="T47" s="704"/>
      <c r="U47" s="592">
        <f>SUM(U14:U46)</f>
        <v>96329</v>
      </c>
      <c r="V47" s="592">
        <f>SUM(V14:V46)</f>
        <v>96329</v>
      </c>
      <c r="W47" s="704">
        <f t="shared" ref="W47:AB47" si="14">SUM(W14:W46)</f>
        <v>1646.192333333333</v>
      </c>
      <c r="X47" s="704">
        <f t="shared" si="14"/>
        <v>6584.7693333333318</v>
      </c>
      <c r="Y47" s="704">
        <f t="shared" si="14"/>
        <v>4938.5770000000002</v>
      </c>
      <c r="Z47" s="704">
        <f t="shared" si="14"/>
        <v>1646.1923333333334</v>
      </c>
      <c r="AA47" s="704">
        <f t="shared" si="14"/>
        <v>3467.8440000000001</v>
      </c>
      <c r="AB47" s="704">
        <f t="shared" si="14"/>
        <v>3269.2146666666658</v>
      </c>
    </row>
    <row r="48" spans="1:28" ht="15.75">
      <c r="K48" s="782"/>
      <c r="Y48">
        <f>I55-Y47</f>
        <v>-4938.5770000000002</v>
      </c>
    </row>
    <row r="49" spans="1:17" s="994" customFormat="1" ht="15.75" customHeight="1">
      <c r="A49" s="15" t="s">
        <v>12</v>
      </c>
      <c r="B49" s="15"/>
      <c r="C49" s="15"/>
      <c r="D49" s="15"/>
      <c r="E49" s="15"/>
      <c r="F49" s="15"/>
      <c r="G49" s="15"/>
      <c r="I49" s="1202"/>
      <c r="J49" s="1202"/>
    </row>
    <row r="50" spans="1:17" s="994" customFormat="1" ht="15.6" customHeight="1">
      <c r="M50" s="998"/>
      <c r="N50" s="998"/>
      <c r="O50" s="1040" t="s">
        <v>1106</v>
      </c>
      <c r="P50" s="1040"/>
      <c r="Q50" s="1040"/>
    </row>
    <row r="51" spans="1:17" s="994" customFormat="1" ht="15.6" customHeight="1">
      <c r="M51" s="998"/>
      <c r="N51" s="998"/>
      <c r="O51" s="1040" t="s">
        <v>481</v>
      </c>
      <c r="P51" s="1040"/>
      <c r="Q51" s="1040"/>
    </row>
    <row r="52" spans="1:17" s="994" customFormat="1" ht="15.6" customHeight="1">
      <c r="M52" s="998"/>
      <c r="N52" s="998"/>
      <c r="O52" s="1040" t="s">
        <v>1107</v>
      </c>
      <c r="P52" s="1040"/>
      <c r="Q52" s="1040"/>
    </row>
    <row r="53" spans="1:17" ht="15.75">
      <c r="E53" s="693"/>
      <c r="I53" s="694"/>
    </row>
    <row r="54" spans="1:17">
      <c r="E54" s="694"/>
    </row>
    <row r="55" spans="1:17">
      <c r="K55" s="694"/>
      <c r="M55" s="694"/>
    </row>
  </sheetData>
  <mergeCells count="24">
    <mergeCell ref="A11:A12"/>
    <mergeCell ref="O51:Q51"/>
    <mergeCell ref="O52:Q52"/>
    <mergeCell ref="T14:T46"/>
    <mergeCell ref="Q1:S1"/>
    <mergeCell ref="A3:Q3"/>
    <mergeCell ref="A5:Q5"/>
    <mergeCell ref="P9:S9"/>
    <mergeCell ref="C11:C12"/>
    <mergeCell ref="P10:S10"/>
    <mergeCell ref="A8:V8"/>
    <mergeCell ref="T11:T12"/>
    <mergeCell ref="D11:D12"/>
    <mergeCell ref="A4:P4"/>
    <mergeCell ref="V11:V12"/>
    <mergeCell ref="U11:U12"/>
    <mergeCell ref="O50:Q50"/>
    <mergeCell ref="Q11:S11"/>
    <mergeCell ref="E11:G11"/>
    <mergeCell ref="H11:J11"/>
    <mergeCell ref="B11:B12"/>
    <mergeCell ref="N11:P11"/>
    <mergeCell ref="K11:M11"/>
    <mergeCell ref="I49:J49"/>
  </mergeCells>
  <printOptions horizontalCentered="1"/>
  <pageMargins left="0.70866141732283472" right="0.70866141732283472" top="0.63" bottom="0" header="0.79" footer="0.31496062992125984"/>
  <pageSetup paperSize="9" scale="52"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V37"/>
  <sheetViews>
    <sheetView topLeftCell="A22" zoomScale="80" zoomScaleNormal="80" zoomScaleSheetLayoutView="70" workbookViewId="0">
      <selection activeCell="E13" sqref="E13"/>
    </sheetView>
  </sheetViews>
  <sheetFormatPr defaultRowHeight="12.75"/>
  <cols>
    <col min="2" max="2" width="11.5703125" customWidth="1"/>
    <col min="3" max="3" width="14.7109375" customWidth="1"/>
    <col min="4" max="4" width="11.140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c r="Q1" s="1272" t="s">
        <v>208</v>
      </c>
      <c r="R1" s="1272"/>
      <c r="S1" s="1272"/>
    </row>
    <row r="3" spans="1:22" ht="15">
      <c r="A3" s="1190" t="s">
        <v>0</v>
      </c>
      <c r="B3" s="1190"/>
      <c r="C3" s="1190"/>
      <c r="D3" s="1190"/>
      <c r="E3" s="1190"/>
      <c r="F3" s="1190"/>
      <c r="G3" s="1190"/>
      <c r="H3" s="1190"/>
      <c r="I3" s="1190"/>
      <c r="J3" s="1190"/>
      <c r="K3" s="1190"/>
      <c r="L3" s="1190"/>
      <c r="M3" s="1190"/>
      <c r="N3" s="1190"/>
      <c r="O3" s="1190"/>
      <c r="P3" s="1190"/>
      <c r="Q3" s="1190"/>
    </row>
    <row r="4" spans="1:22" ht="20.25">
      <c r="A4" s="1155" t="s">
        <v>636</v>
      </c>
      <c r="B4" s="1155"/>
      <c r="C4" s="1155"/>
      <c r="D4" s="1155"/>
      <c r="E4" s="1155"/>
      <c r="F4" s="1155"/>
      <c r="G4" s="1155"/>
      <c r="H4" s="1155"/>
      <c r="I4" s="1155"/>
      <c r="J4" s="1155"/>
      <c r="K4" s="1155"/>
      <c r="L4" s="1155"/>
      <c r="M4" s="1155"/>
      <c r="N4" s="1155"/>
      <c r="O4" s="1155"/>
      <c r="P4" s="1155"/>
      <c r="Q4" s="40"/>
    </row>
    <row r="5" spans="1:22" ht="15.75">
      <c r="A5" s="1273" t="s">
        <v>1086</v>
      </c>
      <c r="B5" s="1273"/>
      <c r="C5" s="1273"/>
      <c r="D5" s="1273"/>
      <c r="E5" s="1273"/>
      <c r="F5" s="1273"/>
      <c r="G5" s="1273"/>
      <c r="H5" s="1273"/>
      <c r="I5" s="1273"/>
      <c r="J5" s="1273"/>
      <c r="K5" s="1273"/>
      <c r="L5" s="1273"/>
      <c r="M5" s="1273"/>
      <c r="N5" s="1273"/>
      <c r="O5" s="1273"/>
      <c r="P5" s="1273"/>
      <c r="Q5" s="1273"/>
    </row>
    <row r="6" spans="1:22">
      <c r="A6" s="33"/>
      <c r="B6" s="33"/>
      <c r="C6" s="138"/>
      <c r="D6" s="33"/>
      <c r="E6" s="33"/>
      <c r="F6" s="33"/>
      <c r="G6" s="33"/>
      <c r="H6" s="33"/>
      <c r="I6" s="33"/>
      <c r="J6" s="33"/>
      <c r="K6" s="33"/>
      <c r="L6" s="33"/>
      <c r="M6" s="33"/>
      <c r="N6" s="33"/>
      <c r="O6" s="33"/>
      <c r="P6" s="33"/>
      <c r="Q6" s="33"/>
      <c r="U6" s="33"/>
    </row>
    <row r="7" spans="1:22" ht="15.75">
      <c r="A7" s="1113" t="s">
        <v>434</v>
      </c>
      <c r="B7" s="1113"/>
      <c r="C7" s="1113"/>
      <c r="D7" s="1113"/>
      <c r="E7" s="1113"/>
      <c r="F7" s="1113"/>
      <c r="G7" s="1113"/>
      <c r="H7" s="1113"/>
      <c r="I7" s="1113"/>
      <c r="J7" s="1113"/>
      <c r="K7" s="1113"/>
      <c r="L7" s="1113"/>
      <c r="M7" s="1113"/>
      <c r="N7" s="1113"/>
      <c r="O7" s="1113"/>
      <c r="P7" s="1113"/>
      <c r="Q7" s="1113"/>
      <c r="R7" s="1113"/>
      <c r="S7" s="1113"/>
    </row>
    <row r="8" spans="1:22" ht="15.75">
      <c r="A8" s="42"/>
      <c r="B8" s="37"/>
      <c r="C8" s="37"/>
      <c r="D8" s="37"/>
      <c r="E8" s="37"/>
      <c r="F8" s="37"/>
      <c r="G8" s="37"/>
      <c r="H8" s="37"/>
      <c r="I8" s="37"/>
      <c r="J8" s="37"/>
      <c r="K8" s="37"/>
      <c r="L8" s="37"/>
      <c r="M8" s="37"/>
      <c r="N8" s="37"/>
      <c r="O8" s="37"/>
      <c r="P8" s="1274" t="s">
        <v>227</v>
      </c>
      <c r="Q8" s="1274"/>
      <c r="R8" s="1274"/>
      <c r="S8" s="1274"/>
      <c r="U8" s="37"/>
    </row>
    <row r="9" spans="1:22">
      <c r="P9" s="1194" t="s">
        <v>794</v>
      </c>
      <c r="Q9" s="1194"/>
      <c r="R9" s="1194"/>
      <c r="S9" s="1194"/>
    </row>
    <row r="10" spans="1:22" ht="28.5" customHeight="1">
      <c r="A10" s="1267" t="s">
        <v>25</v>
      </c>
      <c r="B10" s="1181" t="s">
        <v>206</v>
      </c>
      <c r="C10" s="1181" t="s">
        <v>368</v>
      </c>
      <c r="D10" s="1181" t="s">
        <v>476</v>
      </c>
      <c r="E10" s="1115" t="s">
        <v>661</v>
      </c>
      <c r="F10" s="1115"/>
      <c r="G10" s="1115"/>
      <c r="H10" s="1090" t="s">
        <v>660</v>
      </c>
      <c r="I10" s="1100"/>
      <c r="J10" s="1091"/>
      <c r="K10" s="1264" t="s">
        <v>370</v>
      </c>
      <c r="L10" s="1265"/>
      <c r="M10" s="1266"/>
      <c r="N10" s="1195" t="s">
        <v>156</v>
      </c>
      <c r="O10" s="1263"/>
      <c r="P10" s="1192"/>
      <c r="Q10" s="1083" t="s">
        <v>1084</v>
      </c>
      <c r="R10" s="1083"/>
      <c r="S10" s="1083"/>
      <c r="T10" s="1181" t="s">
        <v>252</v>
      </c>
      <c r="U10" s="1181" t="s">
        <v>424</v>
      </c>
      <c r="V10" s="1181" t="s">
        <v>371</v>
      </c>
    </row>
    <row r="11" spans="1:22" ht="69" customHeight="1">
      <c r="A11" s="1268"/>
      <c r="B11" s="1182"/>
      <c r="C11" s="1182"/>
      <c r="D11" s="1182"/>
      <c r="E11" s="5" t="s">
        <v>179</v>
      </c>
      <c r="F11" s="5" t="s">
        <v>207</v>
      </c>
      <c r="G11" s="5" t="s">
        <v>18</v>
      </c>
      <c r="H11" s="5" t="s">
        <v>179</v>
      </c>
      <c r="I11" s="5" t="s">
        <v>207</v>
      </c>
      <c r="J11" s="5" t="s">
        <v>18</v>
      </c>
      <c r="K11" s="5" t="s">
        <v>179</v>
      </c>
      <c r="L11" s="5" t="s">
        <v>207</v>
      </c>
      <c r="M11" s="5" t="s">
        <v>18</v>
      </c>
      <c r="N11" s="5" t="s">
        <v>179</v>
      </c>
      <c r="O11" s="5" t="s">
        <v>207</v>
      </c>
      <c r="P11" s="5" t="s">
        <v>18</v>
      </c>
      <c r="Q11" s="5" t="s">
        <v>237</v>
      </c>
      <c r="R11" s="5" t="s">
        <v>218</v>
      </c>
      <c r="S11" s="5" t="s">
        <v>219</v>
      </c>
      <c r="T11" s="1182"/>
      <c r="U11" s="1182"/>
      <c r="V11" s="1182"/>
    </row>
    <row r="12" spans="1:22">
      <c r="A12" s="136">
        <v>1</v>
      </c>
      <c r="B12" s="100">
        <v>2</v>
      </c>
      <c r="C12" s="8">
        <v>3</v>
      </c>
      <c r="D12" s="136">
        <v>4</v>
      </c>
      <c r="E12" s="100">
        <v>5</v>
      </c>
      <c r="F12" s="8">
        <v>6</v>
      </c>
      <c r="G12" s="136">
        <v>7</v>
      </c>
      <c r="H12" s="100">
        <v>8</v>
      </c>
      <c r="I12" s="8">
        <v>9</v>
      </c>
      <c r="J12" s="136">
        <v>10</v>
      </c>
      <c r="K12" s="100">
        <v>11</v>
      </c>
      <c r="L12" s="8">
        <v>12</v>
      </c>
      <c r="M12" s="136">
        <v>13</v>
      </c>
      <c r="N12" s="100">
        <v>14</v>
      </c>
      <c r="O12" s="8">
        <v>15</v>
      </c>
      <c r="P12" s="136">
        <v>16</v>
      </c>
      <c r="Q12" s="100">
        <v>17</v>
      </c>
      <c r="R12" s="8">
        <v>18</v>
      </c>
      <c r="S12" s="136">
        <v>19</v>
      </c>
      <c r="T12" s="100">
        <v>20</v>
      </c>
      <c r="U12" s="136">
        <v>21</v>
      </c>
      <c r="V12" s="100">
        <v>22</v>
      </c>
    </row>
    <row r="13" spans="1:22">
      <c r="A13" s="19">
        <v>1</v>
      </c>
      <c r="B13" s="137"/>
      <c r="C13" s="9"/>
      <c r="D13" s="9"/>
      <c r="E13" s="9"/>
      <c r="F13" s="9"/>
      <c r="G13" s="9"/>
      <c r="H13" s="9"/>
      <c r="I13" s="9"/>
      <c r="J13" s="9"/>
      <c r="K13" s="9"/>
      <c r="L13" s="9"/>
      <c r="M13" s="9"/>
      <c r="N13" s="9"/>
      <c r="O13" s="9"/>
      <c r="P13" s="9"/>
      <c r="Q13" s="9"/>
      <c r="R13" s="9"/>
      <c r="S13" s="9"/>
      <c r="T13" s="9"/>
      <c r="U13" s="9"/>
      <c r="V13" s="9"/>
    </row>
    <row r="14" spans="1:22">
      <c r="A14" s="19">
        <v>2</v>
      </c>
      <c r="B14" s="137"/>
      <c r="C14" s="9"/>
      <c r="D14" s="9"/>
      <c r="E14" s="9"/>
      <c r="F14" s="9"/>
      <c r="G14" s="9"/>
      <c r="H14" s="9"/>
      <c r="I14" s="9"/>
      <c r="J14" s="9"/>
      <c r="K14" s="9"/>
      <c r="L14" s="9"/>
      <c r="M14" s="9"/>
      <c r="N14" s="9"/>
      <c r="O14" s="9"/>
      <c r="P14" s="9"/>
      <c r="Q14" s="9"/>
      <c r="R14" s="9"/>
      <c r="S14" s="9"/>
      <c r="T14" s="9"/>
      <c r="U14" s="9"/>
      <c r="V14" s="9"/>
    </row>
    <row r="15" spans="1:22" ht="16.5" customHeight="1">
      <c r="A15" s="19">
        <v>3</v>
      </c>
      <c r="B15" s="137"/>
      <c r="C15" s="9"/>
      <c r="D15" s="9"/>
      <c r="E15" s="9"/>
      <c r="F15" s="9"/>
      <c r="G15" s="9"/>
      <c r="H15" s="9"/>
      <c r="I15" s="9"/>
      <c r="J15" s="9"/>
      <c r="K15" s="9"/>
      <c r="L15" s="9"/>
      <c r="M15" s="9"/>
      <c r="N15" s="9"/>
      <c r="O15" s="9"/>
      <c r="P15" s="9"/>
      <c r="Q15" s="9"/>
      <c r="R15" s="9"/>
      <c r="S15" s="9"/>
      <c r="T15" s="9"/>
      <c r="U15" s="9"/>
      <c r="V15" s="9"/>
    </row>
    <row r="16" spans="1:22">
      <c r="A16" s="19">
        <v>4</v>
      </c>
      <c r="B16" s="137"/>
      <c r="C16" s="9"/>
      <c r="D16" s="9"/>
      <c r="E16" s="9"/>
      <c r="F16" s="9"/>
      <c r="G16" s="9"/>
      <c r="H16" s="9"/>
      <c r="I16" s="9"/>
      <c r="J16" s="9"/>
      <c r="K16" s="9"/>
      <c r="L16" s="9"/>
      <c r="M16" s="9"/>
      <c r="N16" s="9"/>
      <c r="O16" s="9"/>
      <c r="P16" s="9"/>
      <c r="Q16" s="9"/>
      <c r="R16" s="9"/>
      <c r="S16" s="9"/>
      <c r="T16" s="9"/>
      <c r="U16" s="9"/>
      <c r="V16" s="9"/>
    </row>
    <row r="17" spans="1:22">
      <c r="A17" s="19">
        <v>5</v>
      </c>
      <c r="B17" s="137"/>
      <c r="C17" s="9"/>
      <c r="D17" s="9"/>
      <c r="E17" s="1275" t="s">
        <v>936</v>
      </c>
      <c r="F17" s="1276"/>
      <c r="G17" s="1276"/>
      <c r="H17" s="1276"/>
      <c r="I17" s="1276"/>
      <c r="J17" s="1276"/>
      <c r="K17" s="1276"/>
      <c r="L17" s="1276"/>
      <c r="M17" s="1276"/>
      <c r="N17" s="1276"/>
      <c r="O17" s="1276"/>
      <c r="P17" s="1276"/>
      <c r="Q17" s="1276"/>
      <c r="R17" s="1276"/>
      <c r="S17" s="1276"/>
      <c r="T17" s="1276"/>
      <c r="U17" s="1276"/>
      <c r="V17" s="1277"/>
    </row>
    <row r="18" spans="1:22">
      <c r="A18" s="19">
        <v>6</v>
      </c>
      <c r="B18" s="137"/>
      <c r="C18" s="9"/>
      <c r="D18" s="9"/>
      <c r="E18" s="1278"/>
      <c r="F18" s="1279"/>
      <c r="G18" s="1279"/>
      <c r="H18" s="1279"/>
      <c r="I18" s="1279"/>
      <c r="J18" s="1279"/>
      <c r="K18" s="1279"/>
      <c r="L18" s="1279"/>
      <c r="M18" s="1279"/>
      <c r="N18" s="1279"/>
      <c r="O18" s="1279"/>
      <c r="P18" s="1279"/>
      <c r="Q18" s="1279"/>
      <c r="R18" s="1279"/>
      <c r="S18" s="1279"/>
      <c r="T18" s="1279"/>
      <c r="U18" s="1279"/>
      <c r="V18" s="1280"/>
    </row>
    <row r="19" spans="1:22">
      <c r="A19" s="19">
        <v>7</v>
      </c>
      <c r="B19" s="137"/>
      <c r="C19" s="9"/>
      <c r="D19" s="9"/>
      <c r="E19" s="1278"/>
      <c r="F19" s="1279"/>
      <c r="G19" s="1279"/>
      <c r="H19" s="1279"/>
      <c r="I19" s="1279"/>
      <c r="J19" s="1279"/>
      <c r="K19" s="1279"/>
      <c r="L19" s="1279"/>
      <c r="M19" s="1279"/>
      <c r="N19" s="1279"/>
      <c r="O19" s="1279"/>
      <c r="P19" s="1279"/>
      <c r="Q19" s="1279"/>
      <c r="R19" s="1279"/>
      <c r="S19" s="1279"/>
      <c r="T19" s="1279"/>
      <c r="U19" s="1279"/>
      <c r="V19" s="1280"/>
    </row>
    <row r="20" spans="1:22">
      <c r="A20" s="19">
        <v>8</v>
      </c>
      <c r="B20" s="137"/>
      <c r="C20" s="9"/>
      <c r="D20" s="9"/>
      <c r="E20" s="1278"/>
      <c r="F20" s="1279"/>
      <c r="G20" s="1279"/>
      <c r="H20" s="1279"/>
      <c r="I20" s="1279"/>
      <c r="J20" s="1279"/>
      <c r="K20" s="1279"/>
      <c r="L20" s="1279"/>
      <c r="M20" s="1279"/>
      <c r="N20" s="1279"/>
      <c r="O20" s="1279"/>
      <c r="P20" s="1279"/>
      <c r="Q20" s="1279"/>
      <c r="R20" s="1279"/>
      <c r="S20" s="1279"/>
      <c r="T20" s="1279"/>
      <c r="U20" s="1279"/>
      <c r="V20" s="1280"/>
    </row>
    <row r="21" spans="1:22">
      <c r="A21" s="19">
        <v>9</v>
      </c>
      <c r="B21" s="137"/>
      <c r="C21" s="9"/>
      <c r="D21" s="9"/>
      <c r="E21" s="1278"/>
      <c r="F21" s="1279"/>
      <c r="G21" s="1279"/>
      <c r="H21" s="1279"/>
      <c r="I21" s="1279"/>
      <c r="J21" s="1279"/>
      <c r="K21" s="1279"/>
      <c r="L21" s="1279"/>
      <c r="M21" s="1279"/>
      <c r="N21" s="1279"/>
      <c r="O21" s="1279"/>
      <c r="P21" s="1279"/>
      <c r="Q21" s="1279"/>
      <c r="R21" s="1279"/>
      <c r="S21" s="1279"/>
      <c r="T21" s="1279"/>
      <c r="U21" s="1279"/>
      <c r="V21" s="1280"/>
    </row>
    <row r="22" spans="1:22">
      <c r="A22" s="19">
        <v>10</v>
      </c>
      <c r="B22" s="137"/>
      <c r="C22" s="9"/>
      <c r="D22" s="9"/>
      <c r="E22" s="1278"/>
      <c r="F22" s="1279"/>
      <c r="G22" s="1279"/>
      <c r="H22" s="1279"/>
      <c r="I22" s="1279"/>
      <c r="J22" s="1279"/>
      <c r="K22" s="1279"/>
      <c r="L22" s="1279"/>
      <c r="M22" s="1279"/>
      <c r="N22" s="1279"/>
      <c r="O22" s="1279"/>
      <c r="P22" s="1279"/>
      <c r="Q22" s="1279"/>
      <c r="R22" s="1279"/>
      <c r="S22" s="1279"/>
      <c r="T22" s="1279"/>
      <c r="U22" s="1279"/>
      <c r="V22" s="1280"/>
    </row>
    <row r="23" spans="1:22" ht="16.5" customHeight="1">
      <c r="A23" s="19">
        <v>11</v>
      </c>
      <c r="B23" s="137"/>
      <c r="C23" s="9"/>
      <c r="D23" s="9"/>
      <c r="E23" s="1278"/>
      <c r="F23" s="1279"/>
      <c r="G23" s="1279"/>
      <c r="H23" s="1279"/>
      <c r="I23" s="1279"/>
      <c r="J23" s="1279"/>
      <c r="K23" s="1279"/>
      <c r="L23" s="1279"/>
      <c r="M23" s="1279"/>
      <c r="N23" s="1279"/>
      <c r="O23" s="1279"/>
      <c r="P23" s="1279"/>
      <c r="Q23" s="1279"/>
      <c r="R23" s="1279"/>
      <c r="S23" s="1279"/>
      <c r="T23" s="1279"/>
      <c r="U23" s="1279"/>
      <c r="V23" s="1280"/>
    </row>
    <row r="24" spans="1:22">
      <c r="A24" s="19">
        <v>12</v>
      </c>
      <c r="B24" s="137"/>
      <c r="C24" s="9"/>
      <c r="D24" s="9"/>
      <c r="E24" s="1278"/>
      <c r="F24" s="1279"/>
      <c r="G24" s="1279"/>
      <c r="H24" s="1279"/>
      <c r="I24" s="1279"/>
      <c r="J24" s="1279"/>
      <c r="K24" s="1279"/>
      <c r="L24" s="1279"/>
      <c r="M24" s="1279"/>
      <c r="N24" s="1279"/>
      <c r="O24" s="1279"/>
      <c r="P24" s="1279"/>
      <c r="Q24" s="1279"/>
      <c r="R24" s="1279"/>
      <c r="S24" s="1279"/>
      <c r="T24" s="1279"/>
      <c r="U24" s="1279"/>
      <c r="V24" s="1280"/>
    </row>
    <row r="25" spans="1:22">
      <c r="A25" s="19">
        <v>13</v>
      </c>
      <c r="B25" s="137"/>
      <c r="C25" s="9"/>
      <c r="D25" s="9"/>
      <c r="E25" s="1278"/>
      <c r="F25" s="1279"/>
      <c r="G25" s="1279"/>
      <c r="H25" s="1279"/>
      <c r="I25" s="1279"/>
      <c r="J25" s="1279"/>
      <c r="K25" s="1279"/>
      <c r="L25" s="1279"/>
      <c r="M25" s="1279"/>
      <c r="N25" s="1279"/>
      <c r="O25" s="1279"/>
      <c r="P25" s="1279"/>
      <c r="Q25" s="1279"/>
      <c r="R25" s="1279"/>
      <c r="S25" s="1279"/>
      <c r="T25" s="1279"/>
      <c r="U25" s="1279"/>
      <c r="V25" s="1280"/>
    </row>
    <row r="26" spans="1:22" ht="16.5" customHeight="1">
      <c r="A26" s="19">
        <v>14</v>
      </c>
      <c r="B26" s="137"/>
      <c r="C26" s="9"/>
      <c r="D26" s="9"/>
      <c r="E26" s="1278"/>
      <c r="F26" s="1279"/>
      <c r="G26" s="1279"/>
      <c r="H26" s="1279"/>
      <c r="I26" s="1279"/>
      <c r="J26" s="1279"/>
      <c r="K26" s="1279"/>
      <c r="L26" s="1279"/>
      <c r="M26" s="1279"/>
      <c r="N26" s="1279"/>
      <c r="O26" s="1279"/>
      <c r="P26" s="1279"/>
      <c r="Q26" s="1279"/>
      <c r="R26" s="1279"/>
      <c r="S26" s="1279"/>
      <c r="T26" s="1279"/>
      <c r="U26" s="1279"/>
      <c r="V26" s="1280"/>
    </row>
    <row r="27" spans="1:22">
      <c r="A27" s="19" t="s">
        <v>7</v>
      </c>
      <c r="B27" s="137"/>
      <c r="C27" s="9"/>
      <c r="D27" s="9"/>
      <c r="E27" s="1281"/>
      <c r="F27" s="1282"/>
      <c r="G27" s="1282"/>
      <c r="H27" s="1282"/>
      <c r="I27" s="1282"/>
      <c r="J27" s="1282"/>
      <c r="K27" s="1282"/>
      <c r="L27" s="1282"/>
      <c r="M27" s="1282"/>
      <c r="N27" s="1282"/>
      <c r="O27" s="1282"/>
      <c r="P27" s="1282"/>
      <c r="Q27" s="1282"/>
      <c r="R27" s="1282"/>
      <c r="S27" s="1282"/>
      <c r="T27" s="1282"/>
      <c r="U27" s="1282"/>
      <c r="V27" s="1283"/>
    </row>
    <row r="28" spans="1:22">
      <c r="A28" s="19" t="s">
        <v>7</v>
      </c>
      <c r="B28" s="137"/>
      <c r="C28" s="9"/>
      <c r="D28" s="9"/>
      <c r="E28" s="9"/>
      <c r="F28" s="9"/>
      <c r="G28" s="9"/>
      <c r="H28" s="9"/>
      <c r="I28" s="9"/>
      <c r="J28" s="9"/>
      <c r="K28" s="9"/>
      <c r="L28" s="9"/>
      <c r="M28" s="9"/>
      <c r="N28" s="9"/>
      <c r="O28" s="9"/>
      <c r="P28" s="9"/>
      <c r="Q28" s="9"/>
      <c r="R28" s="9"/>
      <c r="S28" s="9"/>
      <c r="T28" s="9"/>
      <c r="U28" s="9"/>
      <c r="V28" s="9"/>
    </row>
    <row r="29" spans="1:22">
      <c r="A29" s="29" t="s">
        <v>18</v>
      </c>
      <c r="B29" s="9"/>
      <c r="C29" s="9"/>
      <c r="D29" s="9"/>
      <c r="E29" s="9"/>
      <c r="F29" s="9"/>
      <c r="G29" s="9"/>
      <c r="H29" s="9"/>
      <c r="I29" s="9"/>
      <c r="J29" s="9"/>
      <c r="K29" s="9"/>
      <c r="L29" s="9"/>
      <c r="M29" s="9"/>
      <c r="N29" s="9"/>
      <c r="O29" s="9"/>
      <c r="P29" s="9"/>
      <c r="Q29" s="9"/>
      <c r="R29" s="9"/>
      <c r="S29" s="9"/>
      <c r="T29" s="9"/>
      <c r="U29" s="9"/>
      <c r="V29" s="9"/>
    </row>
    <row r="31" spans="1:22" ht="12.75" customHeight="1">
      <c r="A31" s="1284" t="s">
        <v>1087</v>
      </c>
      <c r="B31" s="1284"/>
      <c r="C31" s="1284"/>
      <c r="D31" s="1284"/>
      <c r="E31" s="1284"/>
      <c r="F31" s="1284"/>
      <c r="G31" s="1284"/>
      <c r="H31" s="1284"/>
      <c r="I31" s="1284"/>
      <c r="J31" s="1284"/>
      <c r="K31" s="1284"/>
      <c r="L31" s="1284"/>
      <c r="M31" s="1284"/>
      <c r="N31" s="1284"/>
      <c r="O31" s="1284"/>
      <c r="P31" s="1284"/>
      <c r="Q31" s="1284"/>
      <c r="R31" s="1284"/>
      <c r="S31" s="1284"/>
      <c r="T31" s="1284"/>
      <c r="U31" s="1284"/>
      <c r="V31" s="1284"/>
    </row>
    <row r="32" spans="1:22" ht="12.75" customHeight="1">
      <c r="A32" s="1284"/>
      <c r="B32" s="1284"/>
      <c r="C32" s="1284"/>
      <c r="D32" s="1284"/>
      <c r="E32" s="1284"/>
      <c r="F32" s="1284"/>
      <c r="G32" s="1284"/>
      <c r="H32" s="1284"/>
      <c r="I32" s="1284"/>
      <c r="J32" s="1284"/>
      <c r="K32" s="1284"/>
      <c r="L32" s="1284"/>
      <c r="M32" s="1284"/>
      <c r="N32" s="1284"/>
      <c r="O32" s="1284"/>
      <c r="P32" s="1284"/>
      <c r="Q32" s="1284"/>
      <c r="R32" s="1284"/>
      <c r="S32" s="1284"/>
      <c r="T32" s="1284"/>
      <c r="U32" s="1284"/>
      <c r="V32" s="1284"/>
    </row>
    <row r="33" spans="1:22">
      <c r="A33" s="1284"/>
      <c r="B33" s="1284"/>
      <c r="C33" s="1284"/>
      <c r="D33" s="1284"/>
      <c r="E33" s="1284"/>
      <c r="F33" s="1284"/>
      <c r="G33" s="1284"/>
      <c r="H33" s="1284"/>
      <c r="I33" s="1284"/>
      <c r="J33" s="1284"/>
      <c r="K33" s="1284"/>
      <c r="L33" s="1284"/>
      <c r="M33" s="1284"/>
      <c r="N33" s="1284"/>
      <c r="O33" s="1284"/>
      <c r="P33" s="1284"/>
      <c r="Q33" s="1284"/>
      <c r="R33" s="1284"/>
      <c r="S33" s="1284"/>
      <c r="T33" s="1284"/>
      <c r="U33" s="1284"/>
      <c r="V33" s="1284"/>
    </row>
    <row r="34" spans="1:22" s="994" customFormat="1" ht="15.75" customHeight="1">
      <c r="A34" s="15" t="s">
        <v>12</v>
      </c>
      <c r="B34" s="15"/>
      <c r="C34" s="15"/>
      <c r="D34" s="15"/>
      <c r="E34" s="15"/>
      <c r="F34" s="15"/>
      <c r="G34" s="15"/>
      <c r="I34" s="1202"/>
      <c r="J34" s="1202"/>
    </row>
    <row r="35" spans="1:22" s="994" customFormat="1" ht="15.6" customHeight="1">
      <c r="M35" s="998"/>
      <c r="N35" s="998"/>
      <c r="S35" s="1040" t="s">
        <v>1106</v>
      </c>
      <c r="T35" s="1040"/>
      <c r="U35" s="1040"/>
    </row>
    <row r="36" spans="1:22" s="994" customFormat="1" ht="15.6" customHeight="1">
      <c r="M36" s="998"/>
      <c r="N36" s="998"/>
      <c r="S36" s="1040" t="s">
        <v>481</v>
      </c>
      <c r="T36" s="1040"/>
      <c r="U36" s="1040"/>
    </row>
    <row r="37" spans="1:22" s="994" customFormat="1" ht="15.6" customHeight="1">
      <c r="M37" s="998"/>
      <c r="N37" s="998"/>
      <c r="S37" s="1040" t="s">
        <v>1107</v>
      </c>
      <c r="T37" s="1040"/>
      <c r="U37" s="1040"/>
    </row>
  </sheetData>
  <mergeCells count="25">
    <mergeCell ref="S37:U37"/>
    <mergeCell ref="U10:U11"/>
    <mergeCell ref="T10:T11"/>
    <mergeCell ref="V10:V11"/>
    <mergeCell ref="E17:V27"/>
    <mergeCell ref="A31:V33"/>
    <mergeCell ref="I34:J34"/>
    <mergeCell ref="S35:U35"/>
    <mergeCell ref="S36:U36"/>
    <mergeCell ref="P8:S8"/>
    <mergeCell ref="P9:S9"/>
    <mergeCell ref="A10:A11"/>
    <mergeCell ref="B10:B11"/>
    <mergeCell ref="C10:C11"/>
    <mergeCell ref="D10:D11"/>
    <mergeCell ref="E10:G10"/>
    <mergeCell ref="H10:J10"/>
    <mergeCell ref="K10:M10"/>
    <mergeCell ref="N10:P10"/>
    <mergeCell ref="Q10:S10"/>
    <mergeCell ref="Q1:S1"/>
    <mergeCell ref="A3:Q3"/>
    <mergeCell ref="A4:P4"/>
    <mergeCell ref="A5:Q5"/>
    <mergeCell ref="A7:S7"/>
  </mergeCells>
  <printOptions horizontalCentered="1"/>
  <pageMargins left="0.70866141732283472" right="0.70866141732283472" top="0.63" bottom="0" header="0.79" footer="0.31496062992125984"/>
  <pageSetup paperSize="9" scale="59"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N52"/>
  <sheetViews>
    <sheetView topLeftCell="A40" zoomScaleSheetLayoutView="86" workbookViewId="0">
      <selection activeCell="E13" sqref="E13"/>
    </sheetView>
  </sheetViews>
  <sheetFormatPr defaultColWidth="9.140625" defaultRowHeight="12.75"/>
  <cols>
    <col min="1" max="1" width="18.85546875" style="710" bestFit="1" customWidth="1"/>
    <col min="2" max="2" width="15.85546875" style="710" bestFit="1" customWidth="1"/>
    <col min="3" max="3" width="16.7109375" style="710" bestFit="1" customWidth="1"/>
    <col min="4" max="4" width="25.5703125" style="710" bestFit="1" customWidth="1"/>
    <col min="5" max="5" width="18.28515625" style="710" bestFit="1" customWidth="1"/>
    <col min="6" max="6" width="18.85546875" style="710" bestFit="1" customWidth="1"/>
    <col min="7" max="7" width="12" style="710" bestFit="1" customWidth="1"/>
    <col min="8" max="8" width="19.85546875" style="710" bestFit="1" customWidth="1"/>
    <col min="9" max="16384" width="9.140625" style="710"/>
  </cols>
  <sheetData>
    <row r="1" spans="1:11" s="705" customFormat="1" ht="15">
      <c r="H1" s="706" t="s">
        <v>66</v>
      </c>
    </row>
    <row r="2" spans="1:11" s="705" customFormat="1" ht="15">
      <c r="D2" s="707" t="s">
        <v>0</v>
      </c>
      <c r="E2" s="707"/>
      <c r="F2" s="707"/>
      <c r="G2" s="707"/>
      <c r="H2" s="707"/>
    </row>
    <row r="3" spans="1:11" s="705" customFormat="1" ht="20.25">
      <c r="B3" s="708"/>
      <c r="C3" s="1287" t="s">
        <v>636</v>
      </c>
      <c r="D3" s="1287"/>
      <c r="E3" s="1287"/>
      <c r="F3" s="709"/>
      <c r="G3" s="709"/>
      <c r="H3" s="709"/>
    </row>
    <row r="4" spans="1:11" s="705" customFormat="1"/>
    <row r="5" spans="1:11">
      <c r="A5" s="1288" t="s">
        <v>1088</v>
      </c>
      <c r="B5" s="1288"/>
      <c r="C5" s="1288"/>
      <c r="D5" s="1288"/>
      <c r="E5" s="1288"/>
      <c r="F5" s="1288"/>
      <c r="G5" s="1288"/>
      <c r="H5" s="1288"/>
    </row>
    <row r="8" spans="1:11">
      <c r="A8" s="711" t="s">
        <v>934</v>
      </c>
      <c r="H8" s="712" t="s">
        <v>24</v>
      </c>
    </row>
    <row r="9" spans="1:11">
      <c r="D9" s="1289" t="s">
        <v>794</v>
      </c>
      <c r="E9" s="1289"/>
      <c r="F9" s="1289"/>
      <c r="G9" s="1289"/>
      <c r="H9" s="1289"/>
      <c r="J9" s="713"/>
      <c r="K9" s="713"/>
    </row>
    <row r="10" spans="1:11" ht="38.25">
      <c r="A10" s="714" t="s">
        <v>2</v>
      </c>
      <c r="B10" s="714" t="s">
        <v>3</v>
      </c>
      <c r="C10" s="715" t="s">
        <v>661</v>
      </c>
      <c r="D10" s="715" t="s">
        <v>1089</v>
      </c>
      <c r="E10" s="715" t="s">
        <v>115</v>
      </c>
      <c r="F10" s="715" t="s">
        <v>435</v>
      </c>
      <c r="G10" s="715" t="s">
        <v>156</v>
      </c>
      <c r="H10" s="716" t="s">
        <v>1090</v>
      </c>
    </row>
    <row r="11" spans="1:11" s="719" customFormat="1">
      <c r="A11" s="717">
        <v>1</v>
      </c>
      <c r="B11" s="718">
        <v>2</v>
      </c>
      <c r="C11" s="717">
        <v>3</v>
      </c>
      <c r="D11" s="718">
        <v>4</v>
      </c>
      <c r="E11" s="717">
        <v>5</v>
      </c>
      <c r="F11" s="718">
        <v>6</v>
      </c>
      <c r="G11" s="717">
        <v>7</v>
      </c>
      <c r="H11" s="717">
        <v>8</v>
      </c>
    </row>
    <row r="12" spans="1:11" s="711" customFormat="1">
      <c r="A12" s="720">
        <v>1</v>
      </c>
      <c r="B12" s="721" t="s">
        <v>825</v>
      </c>
      <c r="C12" s="722">
        <v>69.022384260940441</v>
      </c>
      <c r="D12" s="723">
        <v>0</v>
      </c>
      <c r="E12" s="723">
        <f>2+68.7099257807332</f>
        <v>70.709925780733201</v>
      </c>
      <c r="F12" s="724">
        <v>750</v>
      </c>
      <c r="G12" s="725">
        <v>68.709925780733201</v>
      </c>
      <c r="H12" s="723">
        <f>D12+E12-G12</f>
        <v>2</v>
      </c>
    </row>
    <row r="13" spans="1:11" s="711" customFormat="1">
      <c r="A13" s="720">
        <v>2</v>
      </c>
      <c r="B13" s="721" t="s">
        <v>826</v>
      </c>
      <c r="C13" s="722">
        <v>18.733837601595773</v>
      </c>
      <c r="D13" s="723">
        <v>0</v>
      </c>
      <c r="E13" s="723">
        <f>2.15+18.8455329205201</f>
        <v>20.995532920520098</v>
      </c>
      <c r="F13" s="724">
        <v>750</v>
      </c>
      <c r="G13" s="725">
        <v>18.845532920520107</v>
      </c>
      <c r="H13" s="723">
        <f t="shared" ref="H13:H44" si="0">D13+E13-G13</f>
        <v>2.1499999999999915</v>
      </c>
    </row>
    <row r="14" spans="1:11" s="711" customFormat="1">
      <c r="A14" s="720">
        <v>3</v>
      </c>
      <c r="B14" s="721" t="s">
        <v>827</v>
      </c>
      <c r="C14" s="722">
        <v>36.262892899372112</v>
      </c>
      <c r="D14" s="723">
        <v>0</v>
      </c>
      <c r="E14" s="723">
        <f>0.22+36.8180863763056</f>
        <v>37.0380863763056</v>
      </c>
      <c r="F14" s="724">
        <v>750</v>
      </c>
      <c r="G14" s="725">
        <v>36.818086376305565</v>
      </c>
      <c r="H14" s="723">
        <f t="shared" si="0"/>
        <v>0.22000000000003439</v>
      </c>
    </row>
    <row r="15" spans="1:11" s="711" customFormat="1">
      <c r="A15" s="720">
        <v>4</v>
      </c>
      <c r="B15" s="721" t="s">
        <v>828</v>
      </c>
      <c r="C15" s="722">
        <v>33.298276506276785</v>
      </c>
      <c r="D15" s="723">
        <v>0</v>
      </c>
      <c r="E15" s="723">
        <f>1.5+32.6414380382738</f>
        <v>34.141438038273797</v>
      </c>
      <c r="F15" s="724">
        <v>750</v>
      </c>
      <c r="G15" s="725">
        <v>32.641438038273819</v>
      </c>
      <c r="H15" s="723">
        <f t="shared" si="0"/>
        <v>1.4999999999999787</v>
      </c>
    </row>
    <row r="16" spans="1:11" s="711" customFormat="1">
      <c r="A16" s="720">
        <v>5</v>
      </c>
      <c r="B16" s="721" t="s">
        <v>829</v>
      </c>
      <c r="C16" s="722">
        <v>74.833224939194125</v>
      </c>
      <c r="D16" s="723">
        <v>0</v>
      </c>
      <c r="E16" s="723">
        <v>74.483925036055766</v>
      </c>
      <c r="F16" s="724">
        <v>750</v>
      </c>
      <c r="G16" s="725">
        <v>74.483925036055766</v>
      </c>
      <c r="H16" s="723">
        <f t="shared" si="0"/>
        <v>0</v>
      </c>
    </row>
    <row r="17" spans="1:8" s="711" customFormat="1">
      <c r="A17" s="720">
        <v>6</v>
      </c>
      <c r="B17" s="721" t="s">
        <v>830</v>
      </c>
      <c r="C17" s="722">
        <v>20.531963963765914</v>
      </c>
      <c r="D17" s="723">
        <v>0</v>
      </c>
      <c r="E17" s="723">
        <v>20.396926419090676</v>
      </c>
      <c r="F17" s="724">
        <v>750</v>
      </c>
      <c r="G17" s="725">
        <v>20.396926419090676</v>
      </c>
      <c r="H17" s="723">
        <f t="shared" si="0"/>
        <v>0</v>
      </c>
    </row>
    <row r="18" spans="1:8" s="711" customFormat="1">
      <c r="A18" s="720">
        <v>7</v>
      </c>
      <c r="B18" s="721" t="s">
        <v>831</v>
      </c>
      <c r="C18" s="722">
        <v>13.183692688152306</v>
      </c>
      <c r="D18" s="723">
        <v>0</v>
      </c>
      <c r="E18" s="723">
        <v>13.211687342488968</v>
      </c>
      <c r="F18" s="724">
        <v>750</v>
      </c>
      <c r="G18" s="725">
        <v>13.211687342488968</v>
      </c>
      <c r="H18" s="723">
        <f t="shared" si="0"/>
        <v>0</v>
      </c>
    </row>
    <row r="19" spans="1:8" s="711" customFormat="1">
      <c r="A19" s="720">
        <v>8</v>
      </c>
      <c r="B19" s="721" t="s">
        <v>832</v>
      </c>
      <c r="C19" s="722">
        <f>47.9140876914554+0.07</f>
        <v>47.9840876914554</v>
      </c>
      <c r="D19" s="723">
        <v>0</v>
      </c>
      <c r="E19" s="723">
        <v>45.189633985853511</v>
      </c>
      <c r="F19" s="724">
        <v>750</v>
      </c>
      <c r="G19" s="725">
        <v>45.189633985853511</v>
      </c>
      <c r="H19" s="723">
        <f t="shared" si="0"/>
        <v>0</v>
      </c>
    </row>
    <row r="20" spans="1:8" s="711" customFormat="1">
      <c r="A20" s="720">
        <v>9</v>
      </c>
      <c r="B20" s="721" t="s">
        <v>833</v>
      </c>
      <c r="C20" s="722">
        <v>33.761746378250734</v>
      </c>
      <c r="D20" s="723">
        <v>0</v>
      </c>
      <c r="E20" s="723">
        <v>33.469699709687433</v>
      </c>
      <c r="F20" s="724">
        <v>750</v>
      </c>
      <c r="G20" s="725">
        <v>33.469699709687433</v>
      </c>
      <c r="H20" s="723">
        <f t="shared" si="0"/>
        <v>0</v>
      </c>
    </row>
    <row r="21" spans="1:8" s="711" customFormat="1">
      <c r="A21" s="720">
        <v>10</v>
      </c>
      <c r="B21" s="721" t="s">
        <v>834</v>
      </c>
      <c r="C21" s="722">
        <v>8.0553413714536806</v>
      </c>
      <c r="D21" s="723">
        <v>0</v>
      </c>
      <c r="E21" s="723">
        <v>8.1089839218055726</v>
      </c>
      <c r="F21" s="724">
        <v>750</v>
      </c>
      <c r="G21" s="725">
        <v>8.1089839218055726</v>
      </c>
      <c r="H21" s="723">
        <f t="shared" si="0"/>
        <v>0</v>
      </c>
    </row>
    <row r="22" spans="1:8" s="711" customFormat="1">
      <c r="A22" s="720">
        <v>11</v>
      </c>
      <c r="B22" s="721" t="s">
        <v>835</v>
      </c>
      <c r="C22" s="722">
        <v>20.117862026407987</v>
      </c>
      <c r="D22" s="723">
        <v>0</v>
      </c>
      <c r="E22" s="723">
        <v>20.164756333196205</v>
      </c>
      <c r="F22" s="724">
        <v>750</v>
      </c>
      <c r="G22" s="725">
        <v>20.164756333196205</v>
      </c>
      <c r="H22" s="723">
        <f t="shared" si="0"/>
        <v>0</v>
      </c>
    </row>
    <row r="23" spans="1:8" s="711" customFormat="1">
      <c r="A23" s="720">
        <v>12</v>
      </c>
      <c r="B23" s="721" t="s">
        <v>836</v>
      </c>
      <c r="C23" s="722">
        <v>40.541559434516351</v>
      </c>
      <c r="D23" s="723">
        <v>0</v>
      </c>
      <c r="E23" s="723">
        <f>1.5+40.3912255340669</f>
        <v>41.891225534066898</v>
      </c>
      <c r="F23" s="724">
        <v>750</v>
      </c>
      <c r="G23" s="725">
        <v>40.39122553406694</v>
      </c>
      <c r="H23" s="723">
        <f t="shared" si="0"/>
        <v>1.4999999999999574</v>
      </c>
    </row>
    <row r="24" spans="1:8" s="711" customFormat="1">
      <c r="A24" s="720">
        <v>13</v>
      </c>
      <c r="B24" s="721" t="s">
        <v>837</v>
      </c>
      <c r="C24" s="722">
        <v>61.93291489635638</v>
      </c>
      <c r="D24" s="723">
        <v>0</v>
      </c>
      <c r="E24" s="723">
        <v>61.6131518552871</v>
      </c>
      <c r="F24" s="724">
        <v>750</v>
      </c>
      <c r="G24" s="725">
        <v>61.6131518552871</v>
      </c>
      <c r="H24" s="723">
        <f t="shared" si="0"/>
        <v>0</v>
      </c>
    </row>
    <row r="25" spans="1:8" s="711" customFormat="1">
      <c r="A25" s="720">
        <v>14</v>
      </c>
      <c r="B25" s="721" t="s">
        <v>838</v>
      </c>
      <c r="C25" s="722">
        <v>15.366803343031622</v>
      </c>
      <c r="D25" s="723">
        <v>0</v>
      </c>
      <c r="E25" s="723">
        <v>15.5501935123532</v>
      </c>
      <c r="F25" s="724">
        <v>750</v>
      </c>
      <c r="G25" s="725">
        <v>15.550193512353211</v>
      </c>
      <c r="H25" s="723">
        <f t="shared" si="0"/>
        <v>0</v>
      </c>
    </row>
    <row r="26" spans="1:8" s="705" customFormat="1">
      <c r="A26" s="720">
        <v>15</v>
      </c>
      <c r="B26" s="721" t="s">
        <v>839</v>
      </c>
      <c r="C26" s="722">
        <v>11.641739863268208</v>
      </c>
      <c r="D26" s="723">
        <v>0</v>
      </c>
      <c r="E26" s="723">
        <v>11.527235695351228</v>
      </c>
      <c r="F26" s="724">
        <v>750</v>
      </c>
      <c r="G26" s="725">
        <v>11.527235695351228</v>
      </c>
      <c r="H26" s="723">
        <f t="shared" si="0"/>
        <v>0</v>
      </c>
    </row>
    <row r="27" spans="1:8" s="705" customFormat="1">
      <c r="A27" s="720">
        <v>16</v>
      </c>
      <c r="B27" s="721" t="s">
        <v>840</v>
      </c>
      <c r="C27" s="722">
        <v>6.2987386878418041</v>
      </c>
      <c r="D27" s="723">
        <v>0</v>
      </c>
      <c r="E27" s="723">
        <v>6.5422551863931933</v>
      </c>
      <c r="F27" s="724">
        <v>750</v>
      </c>
      <c r="G27" s="725">
        <v>6.5422551863931933</v>
      </c>
      <c r="H27" s="723">
        <f t="shared" si="0"/>
        <v>0</v>
      </c>
    </row>
    <row r="28" spans="1:8" s="705" customFormat="1">
      <c r="A28" s="720">
        <v>17</v>
      </c>
      <c r="B28" s="721" t="s">
        <v>841</v>
      </c>
      <c r="C28" s="722">
        <v>39.123777138581332</v>
      </c>
      <c r="D28" s="723">
        <v>0</v>
      </c>
      <c r="E28" s="723">
        <v>38.680966871390169</v>
      </c>
      <c r="F28" s="724">
        <v>750</v>
      </c>
      <c r="G28" s="725">
        <v>38.680966871390169</v>
      </c>
      <c r="H28" s="723">
        <f t="shared" si="0"/>
        <v>0</v>
      </c>
    </row>
    <row r="29" spans="1:8" s="705" customFormat="1">
      <c r="A29" s="720">
        <v>18</v>
      </c>
      <c r="B29" s="721" t="s">
        <v>842</v>
      </c>
      <c r="C29" s="722">
        <v>28.886909005867647</v>
      </c>
      <c r="D29" s="723">
        <v>0</v>
      </c>
      <c r="E29" s="723">
        <v>29.18370398042395</v>
      </c>
      <c r="F29" s="724">
        <v>750</v>
      </c>
      <c r="G29" s="725">
        <v>29.18370398042395</v>
      </c>
      <c r="H29" s="723">
        <f t="shared" si="0"/>
        <v>0</v>
      </c>
    </row>
    <row r="30" spans="1:8" s="705" customFormat="1">
      <c r="A30" s="720">
        <v>19</v>
      </c>
      <c r="B30" s="721" t="s">
        <v>843</v>
      </c>
      <c r="C30" s="722">
        <v>23.773346835706004</v>
      </c>
      <c r="D30" s="723">
        <v>0</v>
      </c>
      <c r="E30" s="723">
        <v>23.991840727300968</v>
      </c>
      <c r="F30" s="724">
        <v>750</v>
      </c>
      <c r="G30" s="725">
        <v>23.991840727300968</v>
      </c>
      <c r="H30" s="723">
        <f t="shared" si="0"/>
        <v>0</v>
      </c>
    </row>
    <row r="31" spans="1:8" s="705" customFormat="1">
      <c r="A31" s="720">
        <v>20</v>
      </c>
      <c r="B31" s="721" t="s">
        <v>844</v>
      </c>
      <c r="C31" s="722">
        <v>26.244295056147003</v>
      </c>
      <c r="D31" s="723">
        <v>0</v>
      </c>
      <c r="E31" s="723">
        <v>26.241137920724523</v>
      </c>
      <c r="F31" s="724">
        <v>750</v>
      </c>
      <c r="G31" s="725">
        <v>26.241137920724523</v>
      </c>
      <c r="H31" s="723">
        <f t="shared" si="0"/>
        <v>0</v>
      </c>
    </row>
    <row r="32" spans="1:8" s="705" customFormat="1">
      <c r="A32" s="720">
        <v>21</v>
      </c>
      <c r="B32" s="721" t="s">
        <v>845</v>
      </c>
      <c r="C32" s="722">
        <v>33.325503403705937</v>
      </c>
      <c r="D32" s="723">
        <v>0</v>
      </c>
      <c r="E32" s="723">
        <v>34.843869447222914</v>
      </c>
      <c r="F32" s="724">
        <v>750</v>
      </c>
      <c r="G32" s="725">
        <v>34.843869447222914</v>
      </c>
      <c r="H32" s="723">
        <f t="shared" si="0"/>
        <v>0</v>
      </c>
    </row>
    <row r="33" spans="1:10" s="705" customFormat="1">
      <c r="A33" s="720">
        <v>22</v>
      </c>
      <c r="B33" s="721" t="s">
        <v>846</v>
      </c>
      <c r="C33" s="722">
        <v>23.757988231288685</v>
      </c>
      <c r="D33" s="723">
        <v>0</v>
      </c>
      <c r="E33" s="723">
        <v>23.691749966050892</v>
      </c>
      <c r="F33" s="724">
        <v>750</v>
      </c>
      <c r="G33" s="725">
        <v>23.691749966050892</v>
      </c>
      <c r="H33" s="723">
        <f t="shared" si="0"/>
        <v>0</v>
      </c>
    </row>
    <row r="34" spans="1:10" s="705" customFormat="1">
      <c r="A34" s="720">
        <v>23</v>
      </c>
      <c r="B34" s="721" t="s">
        <v>847</v>
      </c>
      <c r="C34" s="722">
        <v>35.528063728650494</v>
      </c>
      <c r="D34" s="723">
        <v>0</v>
      </c>
      <c r="E34" s="723">
        <v>36.487152172449612</v>
      </c>
      <c r="F34" s="724">
        <v>750</v>
      </c>
      <c r="G34" s="725">
        <v>36.487152172449612</v>
      </c>
      <c r="H34" s="723">
        <f t="shared" si="0"/>
        <v>0</v>
      </c>
    </row>
    <row r="35" spans="1:10" s="705" customFormat="1">
      <c r="A35" s="720">
        <v>24</v>
      </c>
      <c r="B35" s="721" t="s">
        <v>848</v>
      </c>
      <c r="C35" s="722">
        <v>27.724587375487474</v>
      </c>
      <c r="D35" s="723">
        <v>0</v>
      </c>
      <c r="E35" s="723">
        <v>27.450124113188593</v>
      </c>
      <c r="F35" s="724">
        <v>750</v>
      </c>
      <c r="G35" s="725">
        <v>27.450124113188593</v>
      </c>
      <c r="H35" s="723">
        <f t="shared" si="0"/>
        <v>0</v>
      </c>
    </row>
    <row r="36" spans="1:10" s="705" customFormat="1">
      <c r="A36" s="720">
        <v>25</v>
      </c>
      <c r="B36" s="721" t="s">
        <v>849</v>
      </c>
      <c r="C36" s="722">
        <v>14.602554401844102</v>
      </c>
      <c r="D36" s="723">
        <v>0</v>
      </c>
      <c r="E36" s="723">
        <v>14.648881947386933</v>
      </c>
      <c r="F36" s="724">
        <v>750</v>
      </c>
      <c r="G36" s="725">
        <v>14.648881947386933</v>
      </c>
      <c r="H36" s="723">
        <f t="shared" si="0"/>
        <v>0</v>
      </c>
    </row>
    <row r="37" spans="1:10" s="705" customFormat="1">
      <c r="A37" s="720">
        <v>26</v>
      </c>
      <c r="B37" s="721" t="s">
        <v>850</v>
      </c>
      <c r="C37" s="722">
        <v>16.223967120673013</v>
      </c>
      <c r="D37" s="723">
        <v>0</v>
      </c>
      <c r="E37" s="723">
        <v>16.13</v>
      </c>
      <c r="F37" s="724">
        <v>750</v>
      </c>
      <c r="G37" s="725">
        <v>16.11620785921658</v>
      </c>
      <c r="H37" s="723">
        <f t="shared" si="0"/>
        <v>1.3792140783419171E-2</v>
      </c>
    </row>
    <row r="38" spans="1:10" s="705" customFormat="1">
      <c r="A38" s="720">
        <v>27</v>
      </c>
      <c r="B38" s="721" t="s">
        <v>851</v>
      </c>
      <c r="C38" s="722">
        <v>21.189507952047265</v>
      </c>
      <c r="D38" s="723">
        <v>0</v>
      </c>
      <c r="E38" s="723">
        <v>21.362852623243558</v>
      </c>
      <c r="F38" s="724">
        <v>750</v>
      </c>
      <c r="G38" s="725">
        <v>21.362852623243558</v>
      </c>
      <c r="H38" s="723">
        <f t="shared" si="0"/>
        <v>0</v>
      </c>
    </row>
    <row r="39" spans="1:10" s="705" customFormat="1">
      <c r="A39" s="720">
        <v>28</v>
      </c>
      <c r="B39" s="721" t="s">
        <v>852</v>
      </c>
      <c r="C39" s="722">
        <v>12.566096278153855</v>
      </c>
      <c r="D39" s="723">
        <v>0</v>
      </c>
      <c r="E39" s="723">
        <v>12.349726027687847</v>
      </c>
      <c r="F39" s="724">
        <v>750</v>
      </c>
      <c r="G39" s="725">
        <v>12.349726027687847</v>
      </c>
      <c r="H39" s="723">
        <f t="shared" si="0"/>
        <v>0</v>
      </c>
    </row>
    <row r="40" spans="1:10" s="705" customFormat="1">
      <c r="A40" s="720">
        <v>29</v>
      </c>
      <c r="B40" s="721" t="s">
        <v>853</v>
      </c>
      <c r="C40" s="722">
        <v>24.83433556032443</v>
      </c>
      <c r="D40" s="723">
        <v>0</v>
      </c>
      <c r="E40" s="723">
        <v>24.646838995860335</v>
      </c>
      <c r="F40" s="724">
        <v>750</v>
      </c>
      <c r="G40" s="725">
        <v>24.646838995860335</v>
      </c>
      <c r="H40" s="723">
        <f t="shared" si="0"/>
        <v>0</v>
      </c>
    </row>
    <row r="41" spans="1:10" s="705" customFormat="1">
      <c r="A41" s="720">
        <v>30</v>
      </c>
      <c r="B41" s="721" t="s">
        <v>854</v>
      </c>
      <c r="C41" s="722">
        <v>11.985067086539397</v>
      </c>
      <c r="D41" s="723">
        <v>0</v>
      </c>
      <c r="E41" s="723">
        <v>11.457920013311625</v>
      </c>
      <c r="F41" s="724">
        <v>750</v>
      </c>
      <c r="G41" s="725">
        <v>11.457920013311625</v>
      </c>
      <c r="H41" s="723">
        <f t="shared" si="0"/>
        <v>0</v>
      </c>
    </row>
    <row r="42" spans="1:10" s="705" customFormat="1">
      <c r="A42" s="720">
        <v>31</v>
      </c>
      <c r="B42" s="721" t="s">
        <v>855</v>
      </c>
      <c r="C42" s="722">
        <v>17.225853884938534</v>
      </c>
      <c r="D42" s="723">
        <v>0</v>
      </c>
      <c r="E42" s="723">
        <v>17.043045081250881</v>
      </c>
      <c r="F42" s="724">
        <v>750</v>
      </c>
      <c r="G42" s="725">
        <v>17.043045081250881</v>
      </c>
      <c r="H42" s="723">
        <f t="shared" si="0"/>
        <v>0</v>
      </c>
    </row>
    <row r="43" spans="1:10" s="705" customFormat="1">
      <c r="A43" s="720">
        <v>32</v>
      </c>
      <c r="B43" s="721" t="s">
        <v>856</v>
      </c>
      <c r="C43" s="722">
        <v>25.295593682350912</v>
      </c>
      <c r="D43" s="723">
        <v>0</v>
      </c>
      <c r="E43" s="723">
        <v>25.118452289134744</v>
      </c>
      <c r="F43" s="724">
        <v>750</v>
      </c>
      <c r="G43" s="725">
        <v>25.118452289134744</v>
      </c>
      <c r="H43" s="723">
        <f t="shared" si="0"/>
        <v>0</v>
      </c>
    </row>
    <row r="44" spans="1:10" s="705" customFormat="1">
      <c r="A44" s="720">
        <v>33</v>
      </c>
      <c r="B44" s="721" t="s">
        <v>857</v>
      </c>
      <c r="C44" s="722">
        <v>17.317317139723087</v>
      </c>
      <c r="D44" s="723">
        <v>0</v>
      </c>
      <c r="E44" s="723">
        <v>12.807622316693351</v>
      </c>
      <c r="F44" s="724">
        <v>750</v>
      </c>
      <c r="G44" s="725">
        <v>12.807622316693401</v>
      </c>
      <c r="H44" s="723">
        <f t="shared" si="0"/>
        <v>-4.9737991503207013E-14</v>
      </c>
    </row>
    <row r="45" spans="1:10" s="711" customFormat="1">
      <c r="A45" s="1285" t="s">
        <v>18</v>
      </c>
      <c r="B45" s="1286"/>
      <c r="C45" s="726">
        <f>SUM(C12:C44)</f>
        <v>911.17183043390878</v>
      </c>
      <c r="D45" s="726">
        <f>SUM(D12:D44)</f>
        <v>0</v>
      </c>
      <c r="E45" s="726">
        <f>SUM(E12:E44)</f>
        <v>911.17054214078371</v>
      </c>
      <c r="F45" s="802">
        <v>750</v>
      </c>
      <c r="G45" s="726">
        <f>SUM(G12:G44)</f>
        <v>903.78675000000021</v>
      </c>
      <c r="H45" s="726">
        <f>SUM(H12:H44)</f>
        <v>7.3837921407833313</v>
      </c>
    </row>
    <row r="47" spans="1:10">
      <c r="E47" s="727"/>
      <c r="F47" s="783"/>
      <c r="G47" s="713"/>
      <c r="H47" s="713"/>
    </row>
    <row r="48" spans="1:10" s="994" customFormat="1" ht="15.75" customHeight="1">
      <c r="A48" s="15" t="s">
        <v>12</v>
      </c>
      <c r="B48" s="15"/>
      <c r="C48" s="15"/>
      <c r="D48" s="15"/>
      <c r="E48" s="15"/>
      <c r="F48" s="1040" t="s">
        <v>1106</v>
      </c>
      <c r="G48" s="1040"/>
      <c r="H48" s="1040"/>
      <c r="I48" s="1202"/>
      <c r="J48" s="1202"/>
    </row>
    <row r="49" spans="6:14" s="994" customFormat="1" ht="15.6" customHeight="1">
      <c r="F49" s="1040" t="s">
        <v>481</v>
      </c>
      <c r="G49" s="1040"/>
      <c r="H49" s="1040"/>
      <c r="M49" s="998"/>
      <c r="N49" s="998"/>
    </row>
    <row r="50" spans="6:14" s="994" customFormat="1" ht="15.6" customHeight="1">
      <c r="F50" s="1040" t="s">
        <v>1107</v>
      </c>
      <c r="G50" s="1040"/>
      <c r="H50" s="1040"/>
      <c r="M50" s="998"/>
      <c r="N50" s="998"/>
    </row>
    <row r="51" spans="6:14" s="994" customFormat="1" ht="15.6" customHeight="1">
      <c r="M51" s="998"/>
      <c r="N51" s="998"/>
    </row>
    <row r="52" spans="6:14">
      <c r="H52" s="728"/>
    </row>
  </sheetData>
  <mergeCells count="8">
    <mergeCell ref="I48:J48"/>
    <mergeCell ref="F48:H48"/>
    <mergeCell ref="F49:H49"/>
    <mergeCell ref="F50:H50"/>
    <mergeCell ref="A45:B45"/>
    <mergeCell ref="C3:E3"/>
    <mergeCell ref="A5:H5"/>
    <mergeCell ref="D9:H9"/>
  </mergeCells>
  <phoneticPr fontId="0" type="noConversion"/>
  <printOptions horizontalCentered="1"/>
  <pageMargins left="0.70866141732283472" right="0.70866141732283472" top="0.63" bottom="0" header="0.79" footer="0.31496062992125984"/>
  <pageSetup paperSize="9" scale="91"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T32"/>
  <sheetViews>
    <sheetView topLeftCell="A25" zoomScaleSheetLayoutView="81" workbookViewId="0">
      <selection activeCell="E13" sqref="E13"/>
    </sheetView>
  </sheetViews>
  <sheetFormatPr defaultColWidth="9.140625" defaultRowHeight="12.75"/>
  <cols>
    <col min="1" max="1" width="4.42578125" style="16" customWidth="1"/>
    <col min="2" max="2" width="37.28515625" style="16" customWidth="1"/>
    <col min="3" max="3" width="12.28515625" style="16" customWidth="1"/>
    <col min="4" max="5" width="15.140625" style="16" customWidth="1"/>
    <col min="6" max="6" width="15.85546875" style="16" customWidth="1"/>
    <col min="7" max="7" width="12.5703125" style="770" customWidth="1"/>
    <col min="8" max="8" width="23.7109375" style="16" customWidth="1"/>
    <col min="9" max="16384" width="9.140625" style="16"/>
  </cols>
  <sheetData>
    <row r="1" spans="1:20" customFormat="1" ht="15">
      <c r="D1" s="33"/>
      <c r="E1" s="33"/>
      <c r="F1" s="33"/>
      <c r="G1" s="770"/>
      <c r="H1" s="38" t="s">
        <v>67</v>
      </c>
      <c r="I1" s="33"/>
      <c r="J1" s="16"/>
      <c r="L1" s="16"/>
      <c r="M1" s="39"/>
      <c r="N1" s="39"/>
    </row>
    <row r="2" spans="1:20" customFormat="1" ht="15">
      <c r="A2" s="1190" t="s">
        <v>0</v>
      </c>
      <c r="B2" s="1190"/>
      <c r="C2" s="1190"/>
      <c r="D2" s="1190"/>
      <c r="E2" s="1190"/>
      <c r="F2" s="1190"/>
      <c r="G2" s="1190"/>
      <c r="H2" s="1190"/>
      <c r="I2" s="41"/>
      <c r="J2" s="41"/>
      <c r="K2" s="41"/>
      <c r="L2" s="41"/>
      <c r="M2" s="41"/>
      <c r="N2" s="41"/>
    </row>
    <row r="3" spans="1:20" customFormat="1" ht="20.25">
      <c r="A3" s="1112" t="s">
        <v>636</v>
      </c>
      <c r="B3" s="1112"/>
      <c r="C3" s="1112"/>
      <c r="D3" s="1112"/>
      <c r="E3" s="1112"/>
      <c r="F3" s="1112"/>
      <c r="G3" s="1112"/>
      <c r="H3" s="1112"/>
      <c r="I3" s="40"/>
      <c r="J3" s="40"/>
      <c r="K3" s="40"/>
      <c r="L3" s="40"/>
      <c r="M3" s="40"/>
      <c r="N3" s="40"/>
    </row>
    <row r="4" spans="1:20" customFormat="1" ht="10.5" customHeight="1">
      <c r="G4" s="769"/>
    </row>
    <row r="5" spans="1:20" ht="19.5" customHeight="1">
      <c r="A5" s="1113" t="s">
        <v>662</v>
      </c>
      <c r="B5" s="1190"/>
      <c r="C5" s="1190"/>
      <c r="D5" s="1190"/>
      <c r="E5" s="1190"/>
      <c r="F5" s="1190"/>
      <c r="G5" s="1190"/>
      <c r="H5" s="1190"/>
    </row>
    <row r="7" spans="1:20" s="14" customFormat="1" ht="15.75" hidden="1" customHeight="1">
      <c r="A7" s="16"/>
      <c r="B7" s="16"/>
      <c r="C7" s="16"/>
      <c r="D7" s="16"/>
      <c r="E7" s="16"/>
      <c r="F7" s="16"/>
      <c r="G7" s="770"/>
      <c r="H7" s="16"/>
      <c r="I7" s="16"/>
      <c r="J7" s="16"/>
    </row>
    <row r="8" spans="1:20" s="14" customFormat="1" ht="15.75">
      <c r="A8" s="1092" t="s">
        <v>1047</v>
      </c>
      <c r="B8" s="1092"/>
      <c r="C8" s="16"/>
      <c r="D8" s="16"/>
      <c r="E8" s="16"/>
      <c r="F8" s="16"/>
      <c r="G8" s="770"/>
      <c r="H8" s="32" t="s">
        <v>28</v>
      </c>
      <c r="I8" s="16"/>
    </row>
    <row r="9" spans="1:20" s="14" customFormat="1" ht="15.75">
      <c r="A9" s="15"/>
      <c r="B9" s="16"/>
      <c r="C9" s="16"/>
      <c r="D9" s="95"/>
      <c r="E9" s="95"/>
      <c r="G9" s="771" t="s">
        <v>791</v>
      </c>
      <c r="H9" s="95"/>
      <c r="J9" s="103"/>
      <c r="K9" s="103"/>
      <c r="L9" s="103"/>
      <c r="S9" s="111"/>
      <c r="T9" s="109"/>
    </row>
    <row r="10" spans="1:20" s="34" customFormat="1" ht="55.5" customHeight="1">
      <c r="A10" s="36"/>
      <c r="B10" s="5" t="s">
        <v>29</v>
      </c>
      <c r="C10" s="5" t="s">
        <v>663</v>
      </c>
      <c r="D10" s="5" t="s">
        <v>653</v>
      </c>
      <c r="E10" s="5" t="s">
        <v>229</v>
      </c>
      <c r="F10" s="5" t="s">
        <v>230</v>
      </c>
      <c r="G10" s="764" t="s">
        <v>73</v>
      </c>
      <c r="H10" s="5" t="s">
        <v>1091</v>
      </c>
      <c r="J10" s="729"/>
      <c r="K10" s="729"/>
      <c r="L10" s="729"/>
    </row>
    <row r="11" spans="1:20" s="34" customFormat="1" ht="14.25" customHeight="1">
      <c r="A11" s="5">
        <v>1</v>
      </c>
      <c r="B11" s="5">
        <v>2</v>
      </c>
      <c r="C11" s="5">
        <v>3</v>
      </c>
      <c r="D11" s="5">
        <v>4</v>
      </c>
      <c r="E11" s="5">
        <v>5</v>
      </c>
      <c r="F11" s="5">
        <v>6</v>
      </c>
      <c r="G11" s="764">
        <v>7</v>
      </c>
      <c r="H11" s="5">
        <v>8</v>
      </c>
    </row>
    <row r="12" spans="1:20" ht="16.5" customHeight="1">
      <c r="A12" s="29" t="s">
        <v>30</v>
      </c>
      <c r="B12" s="29" t="s">
        <v>31</v>
      </c>
      <c r="C12" s="1292">
        <v>724.83</v>
      </c>
      <c r="D12" s="1291">
        <v>0</v>
      </c>
      <c r="E12" s="1291"/>
      <c r="F12" s="1291"/>
      <c r="G12" s="773">
        <v>0</v>
      </c>
      <c r="H12" s="1291">
        <v>0</v>
      </c>
    </row>
    <row r="13" spans="1:20" ht="20.25" customHeight="1">
      <c r="A13" s="20"/>
      <c r="B13" s="20" t="s">
        <v>32</v>
      </c>
      <c r="C13" s="1293"/>
      <c r="D13" s="1291"/>
      <c r="E13" s="1291"/>
      <c r="F13" s="1291"/>
      <c r="G13" s="773">
        <v>0</v>
      </c>
      <c r="H13" s="1291"/>
    </row>
    <row r="14" spans="1:20" ht="17.25" customHeight="1">
      <c r="A14" s="20"/>
      <c r="B14" s="20" t="s">
        <v>191</v>
      </c>
      <c r="C14" s="1293"/>
      <c r="D14" s="1291"/>
      <c r="E14" s="1291"/>
      <c r="F14" s="1291"/>
      <c r="G14" s="773">
        <v>0</v>
      </c>
      <c r="H14" s="1291"/>
    </row>
    <row r="15" spans="1:20" s="34" customFormat="1" ht="33.75" customHeight="1">
      <c r="A15" s="35"/>
      <c r="B15" s="35" t="s">
        <v>192</v>
      </c>
      <c r="C15" s="1293"/>
      <c r="D15" s="1291"/>
      <c r="E15" s="1291"/>
      <c r="F15" s="1291"/>
      <c r="G15" s="18">
        <v>0</v>
      </c>
      <c r="H15" s="1291"/>
    </row>
    <row r="16" spans="1:20" s="34" customFormat="1">
      <c r="A16" s="35"/>
      <c r="B16" s="36" t="s">
        <v>33</v>
      </c>
      <c r="C16" s="1293"/>
      <c r="D16" s="18"/>
      <c r="E16" s="18"/>
      <c r="F16" s="18"/>
      <c r="G16" s="18"/>
      <c r="H16" s="35"/>
    </row>
    <row r="17" spans="1:14" s="34" customFormat="1" ht="40.5" customHeight="1">
      <c r="A17" s="36" t="s">
        <v>34</v>
      </c>
      <c r="B17" s="36" t="s">
        <v>228</v>
      </c>
      <c r="C17" s="1293"/>
      <c r="D17" s="1290">
        <v>0</v>
      </c>
      <c r="E17" s="1290">
        <f>181.64+253.26+289.93</f>
        <v>724.82999999999993</v>
      </c>
      <c r="F17" s="1290">
        <v>0</v>
      </c>
      <c r="G17" s="18">
        <f>0.11+32.13</f>
        <v>32.24</v>
      </c>
      <c r="H17" s="1290">
        <f>E17-G25</f>
        <v>444.11999999999995</v>
      </c>
    </row>
    <row r="18" spans="1:14" ht="28.5" customHeight="1">
      <c r="A18" s="20"/>
      <c r="B18" s="134" t="s">
        <v>194</v>
      </c>
      <c r="C18" s="1293"/>
      <c r="D18" s="1290"/>
      <c r="E18" s="1290"/>
      <c r="F18" s="1290"/>
      <c r="G18" s="773">
        <f>3.06+142.52+0.74+40.76</f>
        <v>187.08</v>
      </c>
      <c r="H18" s="1290"/>
    </row>
    <row r="19" spans="1:14" ht="19.5" customHeight="1">
      <c r="A19" s="20"/>
      <c r="B19" s="35" t="s">
        <v>35</v>
      </c>
      <c r="C19" s="1293"/>
      <c r="D19" s="1290"/>
      <c r="E19" s="1290"/>
      <c r="F19" s="1290"/>
      <c r="G19" s="773">
        <f>0.78+0.15</f>
        <v>0.93</v>
      </c>
      <c r="H19" s="1290"/>
    </row>
    <row r="20" spans="1:14" ht="21.75" customHeight="1">
      <c r="A20" s="20"/>
      <c r="B20" s="35" t="s">
        <v>195</v>
      </c>
      <c r="C20" s="1293"/>
      <c r="D20" s="1290"/>
      <c r="E20" s="1290"/>
      <c r="F20" s="1290"/>
      <c r="G20" s="773">
        <v>0</v>
      </c>
      <c r="H20" s="1290"/>
    </row>
    <row r="21" spans="1:14" s="34" customFormat="1" ht="27.75" customHeight="1">
      <c r="A21" s="35"/>
      <c r="B21" s="35" t="s">
        <v>36</v>
      </c>
      <c r="C21" s="1293"/>
      <c r="D21" s="1290"/>
      <c r="E21" s="1290"/>
      <c r="F21" s="1290"/>
      <c r="G21" s="18">
        <v>54.86</v>
      </c>
      <c r="H21" s="1290"/>
    </row>
    <row r="22" spans="1:14" s="34" customFormat="1" ht="19.5" customHeight="1">
      <c r="A22" s="35"/>
      <c r="B22" s="35" t="s">
        <v>193</v>
      </c>
      <c r="C22" s="1293"/>
      <c r="D22" s="1290"/>
      <c r="E22" s="1290"/>
      <c r="F22" s="1290"/>
      <c r="G22" s="18">
        <v>0</v>
      </c>
      <c r="H22" s="1290"/>
    </row>
    <row r="23" spans="1:14" s="34" customFormat="1" ht="27.75" customHeight="1">
      <c r="A23" s="35"/>
      <c r="B23" s="35" t="s">
        <v>196</v>
      </c>
      <c r="C23" s="1293"/>
      <c r="D23" s="1290"/>
      <c r="E23" s="1290"/>
      <c r="F23" s="1290"/>
      <c r="G23" s="18">
        <v>0</v>
      </c>
      <c r="H23" s="1290"/>
    </row>
    <row r="24" spans="1:14" s="34" customFormat="1" ht="18.75" customHeight="1">
      <c r="A24" s="36"/>
      <c r="B24" s="35" t="s">
        <v>197</v>
      </c>
      <c r="C24" s="1294"/>
      <c r="D24" s="1290"/>
      <c r="E24" s="1290"/>
      <c r="F24" s="1290"/>
      <c r="G24" s="18">
        <f>8.01+29.83</f>
        <v>37.839999999999996</v>
      </c>
      <c r="H24" s="1290"/>
    </row>
    <row r="25" spans="1:14" s="34" customFormat="1" ht="19.5" customHeight="1">
      <c r="A25" s="36"/>
      <c r="B25" s="36" t="s">
        <v>33</v>
      </c>
      <c r="C25" s="18"/>
      <c r="D25" s="18"/>
      <c r="E25" s="18"/>
      <c r="F25" s="18"/>
      <c r="G25" s="18">
        <f>G18+G19+G20+G21+G22+G23+G24</f>
        <v>280.70999999999998</v>
      </c>
      <c r="H25" s="35"/>
    </row>
    <row r="26" spans="1:14">
      <c r="A26" s="20"/>
      <c r="B26" s="29" t="s">
        <v>37</v>
      </c>
      <c r="C26" s="18">
        <f>C12</f>
        <v>724.83</v>
      </c>
      <c r="D26" s="18">
        <f>D17</f>
        <v>0</v>
      </c>
      <c r="E26" s="18">
        <f>E17</f>
        <v>724.82999999999993</v>
      </c>
      <c r="F26" s="18">
        <f>F12</f>
        <v>0</v>
      </c>
      <c r="G26" s="18">
        <f>G25</f>
        <v>280.70999999999998</v>
      </c>
      <c r="H26" s="18">
        <f>E26-G26</f>
        <v>444.11999999999995</v>
      </c>
    </row>
    <row r="27" spans="1:14" s="34" customFormat="1" ht="15.75" customHeight="1">
      <c r="G27" s="801"/>
    </row>
    <row r="28" spans="1:14" s="34" customFormat="1">
      <c r="G28" s="801"/>
    </row>
    <row r="29" spans="1:14" s="994" customFormat="1" ht="15.75" customHeight="1">
      <c r="A29" s="15" t="s">
        <v>12</v>
      </c>
      <c r="B29" s="15"/>
      <c r="C29" s="15"/>
      <c r="D29" s="15"/>
      <c r="E29" s="15"/>
      <c r="F29" s="1040" t="s">
        <v>1106</v>
      </c>
      <c r="G29" s="1040"/>
      <c r="H29" s="1040"/>
      <c r="I29" s="1202"/>
      <c r="J29" s="1202"/>
    </row>
    <row r="30" spans="1:14" s="994" customFormat="1" ht="15.6" customHeight="1">
      <c r="F30" s="1040" t="s">
        <v>481</v>
      </c>
      <c r="G30" s="1040"/>
      <c r="H30" s="1040"/>
      <c r="M30" s="998"/>
      <c r="N30" s="998"/>
    </row>
    <row r="31" spans="1:14" s="994" customFormat="1" ht="15.6" customHeight="1">
      <c r="F31" s="1040" t="s">
        <v>1107</v>
      </c>
      <c r="G31" s="1040"/>
      <c r="H31" s="1040"/>
      <c r="M31" s="998"/>
      <c r="N31" s="998"/>
    </row>
    <row r="32" spans="1:14">
      <c r="B32" s="15"/>
      <c r="C32" s="15"/>
      <c r="D32" s="15"/>
      <c r="E32" s="15"/>
      <c r="F32" s="15"/>
      <c r="G32" s="1092"/>
      <c r="H32" s="1092"/>
      <c r="I32" s="1092"/>
      <c r="J32" s="1092"/>
    </row>
  </sheetData>
  <mergeCells count="18">
    <mergeCell ref="D17:D24"/>
    <mergeCell ref="E17:E24"/>
    <mergeCell ref="F17:F24"/>
    <mergeCell ref="A2:H2"/>
    <mergeCell ref="A3:H3"/>
    <mergeCell ref="D12:D15"/>
    <mergeCell ref="F12:F15"/>
    <mergeCell ref="H12:H15"/>
    <mergeCell ref="A5:H5"/>
    <mergeCell ref="E12:E15"/>
    <mergeCell ref="A8:B8"/>
    <mergeCell ref="C12:C24"/>
    <mergeCell ref="G32:J32"/>
    <mergeCell ref="H17:H24"/>
    <mergeCell ref="F29:H29"/>
    <mergeCell ref="I29:J29"/>
    <mergeCell ref="F30:H30"/>
    <mergeCell ref="F31:H31"/>
  </mergeCells>
  <phoneticPr fontId="0" type="noConversion"/>
  <printOptions horizontalCentered="1"/>
  <pageMargins left="0.70866141732283472" right="0.70866141732283472" top="0.63" bottom="0" header="0.79" footer="0.31496062992125984"/>
  <pageSetup paperSize="9" scale="94"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O49"/>
  <sheetViews>
    <sheetView topLeftCell="A39" zoomScaleSheetLayoutView="85" workbookViewId="0">
      <selection activeCell="E13" sqref="E13"/>
    </sheetView>
  </sheetViews>
  <sheetFormatPr defaultColWidth="9.140625" defaultRowHeight="12.75"/>
  <cols>
    <col min="1" max="1" width="9.140625" style="144"/>
    <col min="2" max="2" width="19.28515625" style="144" customWidth="1"/>
    <col min="3" max="3" width="28.42578125" style="144" customWidth="1"/>
    <col min="4" max="4" width="27.7109375" style="144" customWidth="1"/>
    <col min="5" max="5" width="30.28515625" style="144" customWidth="1"/>
    <col min="6" max="16384" width="9.140625" style="144"/>
  </cols>
  <sheetData>
    <row r="1" spans="1:15" s="80" customFormat="1" ht="12" customHeight="1">
      <c r="E1" s="624" t="s">
        <v>509</v>
      </c>
    </row>
    <row r="2" spans="1:15" s="80" customFormat="1" ht="15" customHeight="1">
      <c r="D2" s="625" t="s">
        <v>0</v>
      </c>
      <c r="E2" s="625"/>
    </row>
    <row r="3" spans="1:15" s="80" customFormat="1" ht="18" customHeight="1">
      <c r="B3" s="575"/>
      <c r="C3" s="1155" t="s">
        <v>636</v>
      </c>
      <c r="D3" s="1155"/>
      <c r="E3" s="1155"/>
    </row>
    <row r="4" spans="1:15" ht="30.75" customHeight="1">
      <c r="A4" s="1299" t="s">
        <v>664</v>
      </c>
      <c r="B4" s="1299"/>
      <c r="C4" s="1299"/>
      <c r="D4" s="1299"/>
      <c r="E4" s="1299"/>
    </row>
    <row r="5" spans="1:15" ht="0.75" customHeight="1"/>
    <row r="6" spans="1:15">
      <c r="A6" s="93" t="s">
        <v>934</v>
      </c>
    </row>
    <row r="7" spans="1:15">
      <c r="D7" s="1300" t="s">
        <v>1062</v>
      </c>
      <c r="E7" s="1300"/>
      <c r="N7" s="251"/>
      <c r="O7" s="252"/>
    </row>
    <row r="8" spans="1:15" s="626" customFormat="1" ht="26.25" customHeight="1">
      <c r="A8" s="1295" t="s">
        <v>2</v>
      </c>
      <c r="B8" s="1295" t="s">
        <v>3</v>
      </c>
      <c r="C8" s="1296" t="s">
        <v>505</v>
      </c>
      <c r="D8" s="1297"/>
      <c r="E8" s="1298"/>
      <c r="N8" s="627"/>
      <c r="O8" s="627"/>
    </row>
    <row r="9" spans="1:15" s="626" customFormat="1" ht="56.25" customHeight="1">
      <c r="A9" s="1295"/>
      <c r="B9" s="1295"/>
      <c r="C9" s="308" t="s">
        <v>507</v>
      </c>
      <c r="D9" s="308" t="s">
        <v>508</v>
      </c>
      <c r="E9" s="308" t="s">
        <v>506</v>
      </c>
    </row>
    <row r="10" spans="1:15" s="630" customFormat="1" ht="15.75" customHeight="1">
      <c r="A10" s="628">
        <v>1</v>
      </c>
      <c r="B10" s="629">
        <v>2</v>
      </c>
      <c r="C10" s="628">
        <v>3</v>
      </c>
      <c r="D10" s="629">
        <v>4</v>
      </c>
      <c r="E10" s="628">
        <v>5</v>
      </c>
    </row>
    <row r="11" spans="1:15" ht="18" customHeight="1">
      <c r="A11" s="631">
        <v>1</v>
      </c>
      <c r="B11" s="632" t="s">
        <v>825</v>
      </c>
      <c r="C11" s="633">
        <v>3</v>
      </c>
      <c r="D11" s="633">
        <v>2</v>
      </c>
      <c r="E11" s="633">
        <f>1459+262</f>
        <v>1721</v>
      </c>
    </row>
    <row r="12" spans="1:15" ht="74.25" hidden="1" customHeight="1">
      <c r="A12" s="631">
        <v>2</v>
      </c>
      <c r="B12" s="632" t="s">
        <v>826</v>
      </c>
      <c r="C12" s="633">
        <v>3</v>
      </c>
      <c r="D12" s="633">
        <v>1</v>
      </c>
      <c r="E12" s="633">
        <v>1800</v>
      </c>
    </row>
    <row r="13" spans="1:15" ht="12" customHeight="1">
      <c r="A13" s="631">
        <v>3</v>
      </c>
      <c r="B13" s="632" t="s">
        <v>827</v>
      </c>
      <c r="C13" s="633">
        <v>4</v>
      </c>
      <c r="D13" s="633">
        <v>1</v>
      </c>
      <c r="E13" s="633">
        <v>1751</v>
      </c>
    </row>
    <row r="14" spans="1:15" ht="14.25">
      <c r="A14" s="631">
        <v>4</v>
      </c>
      <c r="B14" s="632" t="s">
        <v>828</v>
      </c>
      <c r="C14" s="633">
        <v>3</v>
      </c>
      <c r="D14" s="633">
        <v>1</v>
      </c>
      <c r="E14" s="633">
        <v>1451</v>
      </c>
    </row>
    <row r="15" spans="1:15" ht="14.25">
      <c r="A15" s="631">
        <v>5</v>
      </c>
      <c r="B15" s="632" t="s">
        <v>829</v>
      </c>
      <c r="C15" s="633">
        <v>2</v>
      </c>
      <c r="D15" s="633">
        <v>4</v>
      </c>
      <c r="E15" s="633">
        <v>3096</v>
      </c>
    </row>
    <row r="16" spans="1:15" ht="14.25">
      <c r="A16" s="631">
        <v>6</v>
      </c>
      <c r="B16" s="632" t="s">
        <v>830</v>
      </c>
      <c r="C16" s="633">
        <v>4</v>
      </c>
      <c r="D16" s="633">
        <v>3</v>
      </c>
      <c r="E16" s="633">
        <v>1236</v>
      </c>
    </row>
    <row r="17" spans="1:5" ht="14.25">
      <c r="A17" s="631">
        <v>7</v>
      </c>
      <c r="B17" s="632" t="s">
        <v>831</v>
      </c>
      <c r="C17" s="633">
        <v>5</v>
      </c>
      <c r="D17" s="633">
        <v>1</v>
      </c>
      <c r="E17" s="633">
        <v>409</v>
      </c>
    </row>
    <row r="18" spans="1:5" ht="14.25">
      <c r="A18" s="631">
        <v>8</v>
      </c>
      <c r="B18" s="632" t="s">
        <v>832</v>
      </c>
      <c r="C18" s="633">
        <v>0</v>
      </c>
      <c r="D18" s="633">
        <v>2</v>
      </c>
      <c r="E18" s="633">
        <f>4118+38</f>
        <v>4156</v>
      </c>
    </row>
    <row r="19" spans="1:5" ht="14.25">
      <c r="A19" s="631">
        <v>9</v>
      </c>
      <c r="B19" s="632" t="s">
        <v>833</v>
      </c>
      <c r="C19" s="633">
        <v>3</v>
      </c>
      <c r="D19" s="633">
        <v>1</v>
      </c>
      <c r="E19" s="633">
        <v>1128</v>
      </c>
    </row>
    <row r="20" spans="1:5" ht="14.25">
      <c r="A20" s="631">
        <v>10</v>
      </c>
      <c r="B20" s="632" t="s">
        <v>834</v>
      </c>
      <c r="C20" s="633">
        <v>2</v>
      </c>
      <c r="D20" s="633">
        <v>0</v>
      </c>
      <c r="E20" s="633">
        <v>407</v>
      </c>
    </row>
    <row r="21" spans="1:5" ht="14.25">
      <c r="A21" s="631">
        <v>11</v>
      </c>
      <c r="B21" s="634" t="s">
        <v>835</v>
      </c>
      <c r="C21" s="633">
        <v>2</v>
      </c>
      <c r="D21" s="633">
        <v>1</v>
      </c>
      <c r="E21" s="633">
        <v>390</v>
      </c>
    </row>
    <row r="22" spans="1:5" ht="14.25">
      <c r="A22" s="631">
        <v>12</v>
      </c>
      <c r="B22" s="634" t="s">
        <v>836</v>
      </c>
      <c r="C22" s="633">
        <v>4</v>
      </c>
      <c r="D22" s="633">
        <v>2</v>
      </c>
      <c r="E22" s="633">
        <v>1191</v>
      </c>
    </row>
    <row r="23" spans="1:5" ht="14.25">
      <c r="A23" s="631">
        <v>13</v>
      </c>
      <c r="B23" s="634" t="s">
        <v>837</v>
      </c>
      <c r="C23" s="633">
        <v>2</v>
      </c>
      <c r="D23" s="633">
        <v>2</v>
      </c>
      <c r="E23" s="633">
        <v>1943</v>
      </c>
    </row>
    <row r="24" spans="1:5" ht="14.25">
      <c r="A24" s="631">
        <v>14</v>
      </c>
      <c r="B24" s="634" t="s">
        <v>838</v>
      </c>
      <c r="C24" s="633">
        <v>3</v>
      </c>
      <c r="D24" s="633">
        <v>1</v>
      </c>
      <c r="E24" s="633">
        <f>1731+27</f>
        <v>1758</v>
      </c>
    </row>
    <row r="25" spans="1:5" ht="14.25">
      <c r="A25" s="631">
        <v>15</v>
      </c>
      <c r="B25" s="634" t="s">
        <v>839</v>
      </c>
      <c r="C25" s="633">
        <v>4</v>
      </c>
      <c r="D25" s="633">
        <v>1</v>
      </c>
      <c r="E25" s="633">
        <v>1084</v>
      </c>
    </row>
    <row r="26" spans="1:5" ht="14.25">
      <c r="A26" s="631">
        <v>16</v>
      </c>
      <c r="B26" s="634" t="s">
        <v>840</v>
      </c>
      <c r="C26" s="633">
        <v>5</v>
      </c>
      <c r="D26" s="633">
        <v>1</v>
      </c>
      <c r="E26" s="633">
        <v>477</v>
      </c>
    </row>
    <row r="27" spans="1:5" ht="14.25">
      <c r="A27" s="631">
        <v>17</v>
      </c>
      <c r="B27" s="634" t="s">
        <v>841</v>
      </c>
      <c r="C27" s="633">
        <v>6</v>
      </c>
      <c r="D27" s="633">
        <v>0</v>
      </c>
      <c r="E27" s="633">
        <v>3305</v>
      </c>
    </row>
    <row r="28" spans="1:5" ht="14.25">
      <c r="A28" s="631">
        <v>18</v>
      </c>
      <c r="B28" s="634" t="s">
        <v>842</v>
      </c>
      <c r="C28" s="633">
        <v>4</v>
      </c>
      <c r="D28" s="633">
        <v>1</v>
      </c>
      <c r="E28" s="633">
        <v>1103</v>
      </c>
    </row>
    <row r="29" spans="1:5" ht="14.25">
      <c r="A29" s="631">
        <v>19</v>
      </c>
      <c r="B29" s="634" t="s">
        <v>843</v>
      </c>
      <c r="C29" s="633">
        <v>2</v>
      </c>
      <c r="D29" s="633">
        <v>1</v>
      </c>
      <c r="E29" s="633">
        <f>1947+43</f>
        <v>1990</v>
      </c>
    </row>
    <row r="30" spans="1:5" ht="14.25">
      <c r="A30" s="631">
        <v>20</v>
      </c>
      <c r="B30" s="634" t="s">
        <v>844</v>
      </c>
      <c r="C30" s="633">
        <v>1</v>
      </c>
      <c r="D30" s="633">
        <v>1</v>
      </c>
      <c r="E30" s="633">
        <v>2252</v>
      </c>
    </row>
    <row r="31" spans="1:5" ht="14.25">
      <c r="A31" s="631">
        <v>21</v>
      </c>
      <c r="B31" s="634" t="s">
        <v>845</v>
      </c>
      <c r="C31" s="633">
        <v>6</v>
      </c>
      <c r="D31" s="633">
        <v>1</v>
      </c>
      <c r="E31" s="633">
        <f>498+1101</f>
        <v>1599</v>
      </c>
    </row>
    <row r="32" spans="1:5" ht="14.25">
      <c r="A32" s="631">
        <v>22</v>
      </c>
      <c r="B32" s="634" t="s">
        <v>846</v>
      </c>
      <c r="C32" s="633">
        <v>1</v>
      </c>
      <c r="D32" s="633">
        <v>2</v>
      </c>
      <c r="E32" s="633">
        <v>2407</v>
      </c>
    </row>
    <row r="33" spans="1:14" ht="14.25">
      <c r="A33" s="631">
        <v>23</v>
      </c>
      <c r="B33" s="634" t="s">
        <v>847</v>
      </c>
      <c r="C33" s="633">
        <v>6</v>
      </c>
      <c r="D33" s="633">
        <v>1</v>
      </c>
      <c r="E33" s="633">
        <f>1418+43</f>
        <v>1461</v>
      </c>
    </row>
    <row r="34" spans="1:14" ht="14.25">
      <c r="A34" s="631">
        <v>24</v>
      </c>
      <c r="B34" s="634" t="s">
        <v>848</v>
      </c>
      <c r="C34" s="633">
        <v>5</v>
      </c>
      <c r="D34" s="633">
        <v>1</v>
      </c>
      <c r="E34" s="633">
        <v>916</v>
      </c>
    </row>
    <row r="35" spans="1:14" ht="14.25">
      <c r="A35" s="631">
        <v>25</v>
      </c>
      <c r="B35" s="634" t="s">
        <v>849</v>
      </c>
      <c r="C35" s="633">
        <v>4</v>
      </c>
      <c r="D35" s="633">
        <v>1</v>
      </c>
      <c r="E35" s="633">
        <v>1119</v>
      </c>
    </row>
    <row r="36" spans="1:14" ht="14.25">
      <c r="A36" s="631">
        <v>26</v>
      </c>
      <c r="B36" s="634" t="s">
        <v>850</v>
      </c>
      <c r="C36" s="633">
        <v>5</v>
      </c>
      <c r="D36" s="633">
        <v>0</v>
      </c>
      <c r="E36" s="633">
        <v>986</v>
      </c>
    </row>
    <row r="37" spans="1:14" ht="14.25">
      <c r="A37" s="631">
        <v>27</v>
      </c>
      <c r="B37" s="634" t="s">
        <v>851</v>
      </c>
      <c r="C37" s="633">
        <v>6</v>
      </c>
      <c r="D37" s="633">
        <v>1</v>
      </c>
      <c r="E37" s="633">
        <v>381</v>
      </c>
    </row>
    <row r="38" spans="1:14" ht="14.25">
      <c r="A38" s="631">
        <v>28</v>
      </c>
      <c r="B38" s="634" t="s">
        <v>852</v>
      </c>
      <c r="C38" s="633">
        <v>4</v>
      </c>
      <c r="D38" s="633">
        <v>1</v>
      </c>
      <c r="E38" s="633">
        <v>262</v>
      </c>
    </row>
    <row r="39" spans="1:14" ht="14.25">
      <c r="A39" s="631">
        <v>29</v>
      </c>
      <c r="B39" s="634" t="s">
        <v>853</v>
      </c>
      <c r="C39" s="633">
        <v>2</v>
      </c>
      <c r="D39" s="633">
        <v>1</v>
      </c>
      <c r="E39" s="633">
        <v>735</v>
      </c>
    </row>
    <row r="40" spans="1:14" ht="14.25">
      <c r="A40" s="631">
        <v>30</v>
      </c>
      <c r="B40" s="634" t="s">
        <v>854</v>
      </c>
      <c r="C40" s="633">
        <v>6</v>
      </c>
      <c r="D40" s="633">
        <v>1</v>
      </c>
      <c r="E40" s="633">
        <v>1136</v>
      </c>
    </row>
    <row r="41" spans="1:14" ht="14.25">
      <c r="A41" s="631">
        <v>31</v>
      </c>
      <c r="B41" s="634" t="s">
        <v>855</v>
      </c>
      <c r="C41" s="633">
        <v>4</v>
      </c>
      <c r="D41" s="633">
        <v>1</v>
      </c>
      <c r="E41" s="633">
        <v>1115</v>
      </c>
    </row>
    <row r="42" spans="1:14" ht="14.25">
      <c r="A42" s="631">
        <v>32</v>
      </c>
      <c r="B42" s="634" t="s">
        <v>856</v>
      </c>
      <c r="C42" s="633">
        <v>6</v>
      </c>
      <c r="D42" s="633">
        <v>1</v>
      </c>
      <c r="E42" s="633">
        <v>725</v>
      </c>
    </row>
    <row r="43" spans="1:14" ht="14.25">
      <c r="A43" s="631">
        <v>33</v>
      </c>
      <c r="B43" s="634" t="s">
        <v>857</v>
      </c>
      <c r="C43" s="633">
        <v>4</v>
      </c>
      <c r="D43" s="633">
        <v>1</v>
      </c>
      <c r="E43" s="633">
        <v>1415</v>
      </c>
    </row>
    <row r="44" spans="1:14" ht="14.25">
      <c r="A44" s="635" t="s">
        <v>18</v>
      </c>
      <c r="B44" s="636"/>
      <c r="C44" s="633">
        <v>118</v>
      </c>
      <c r="D44" s="633">
        <v>39</v>
      </c>
      <c r="E44" s="633">
        <v>45105</v>
      </c>
    </row>
    <row r="45" spans="1:14">
      <c r="E45" s="108"/>
    </row>
    <row r="46" spans="1:14">
      <c r="E46" s="90"/>
    </row>
    <row r="47" spans="1:14" s="994" customFormat="1" ht="15.75" customHeight="1">
      <c r="A47" s="15" t="s">
        <v>12</v>
      </c>
      <c r="B47" s="15"/>
      <c r="C47" s="15"/>
      <c r="D47" s="1040" t="s">
        <v>1106</v>
      </c>
      <c r="E47" s="1040"/>
      <c r="F47" s="998"/>
      <c r="I47" s="1202"/>
      <c r="J47" s="1202"/>
    </row>
    <row r="48" spans="1:14" s="994" customFormat="1" ht="15.6" customHeight="1">
      <c r="D48" s="1040" t="s">
        <v>481</v>
      </c>
      <c r="E48" s="1040"/>
      <c r="F48" s="998"/>
      <c r="M48" s="998"/>
      <c r="N48" s="998"/>
    </row>
    <row r="49" spans="4:14" s="994" customFormat="1" ht="15.6" customHeight="1">
      <c r="D49" s="1040" t="s">
        <v>1107</v>
      </c>
      <c r="E49" s="1040"/>
      <c r="F49" s="998"/>
      <c r="M49" s="998"/>
      <c r="N49" s="998"/>
    </row>
  </sheetData>
  <mergeCells count="10">
    <mergeCell ref="I47:J47"/>
    <mergeCell ref="D47:E47"/>
    <mergeCell ref="D48:E48"/>
    <mergeCell ref="D49:E49"/>
    <mergeCell ref="B8:B9"/>
    <mergeCell ref="C8:E8"/>
    <mergeCell ref="C3:E3"/>
    <mergeCell ref="A4:E4"/>
    <mergeCell ref="D7:E7"/>
    <mergeCell ref="A8:A9"/>
  </mergeCells>
  <printOptions horizontalCentered="1"/>
  <pageMargins left="0.70866141732283472" right="0.70866141732283472" top="0.63" bottom="0" header="0.79" footer="0.31496062992125984"/>
  <pageSetup paperSize="9"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topLeftCell="A7" zoomScaleSheetLayoutView="90" workbookViewId="0">
      <selection activeCell="B4" sqref="B4:H13"/>
    </sheetView>
  </sheetViews>
  <sheetFormatPr defaultRowHeight="12.75"/>
  <sheetData>
    <row r="2" spans="2:8">
      <c r="B2" s="15"/>
    </row>
    <row r="4" spans="2:8" ht="12.75" customHeight="1">
      <c r="B4" s="1034"/>
      <c r="C4" s="1034"/>
      <c r="D4" s="1034"/>
      <c r="E4" s="1034"/>
      <c r="F4" s="1034"/>
      <c r="G4" s="1034"/>
      <c r="H4" s="1034"/>
    </row>
    <row r="5" spans="2:8" ht="12.75" customHeight="1">
      <c r="B5" s="1034"/>
      <c r="C5" s="1034"/>
      <c r="D5" s="1034"/>
      <c r="E5" s="1034"/>
      <c r="F5" s="1034"/>
      <c r="G5" s="1034"/>
      <c r="H5" s="1034"/>
    </row>
    <row r="6" spans="2:8" ht="12.75" customHeight="1">
      <c r="B6" s="1034"/>
      <c r="C6" s="1034"/>
      <c r="D6" s="1034"/>
      <c r="E6" s="1034"/>
      <c r="F6" s="1034"/>
      <c r="G6" s="1034"/>
      <c r="H6" s="1034"/>
    </row>
    <row r="7" spans="2:8" ht="12.75" customHeight="1">
      <c r="B7" s="1034"/>
      <c r="C7" s="1034"/>
      <c r="D7" s="1034"/>
      <c r="E7" s="1034"/>
      <c r="F7" s="1034"/>
      <c r="G7" s="1034"/>
      <c r="H7" s="1034"/>
    </row>
    <row r="8" spans="2:8" ht="12.75" customHeight="1">
      <c r="B8" s="1034"/>
      <c r="C8" s="1034"/>
      <c r="D8" s="1034"/>
      <c r="E8" s="1034"/>
      <c r="F8" s="1034"/>
      <c r="G8" s="1034"/>
      <c r="H8" s="1034"/>
    </row>
    <row r="9" spans="2:8" ht="12.75" customHeight="1">
      <c r="B9" s="1034"/>
      <c r="C9" s="1034"/>
      <c r="D9" s="1034"/>
      <c r="E9" s="1034"/>
      <c r="F9" s="1034"/>
      <c r="G9" s="1034"/>
      <c r="H9" s="1034"/>
    </row>
    <row r="10" spans="2:8" ht="12.75" customHeight="1">
      <c r="B10" s="1034"/>
      <c r="C10" s="1034"/>
      <c r="D10" s="1034"/>
      <c r="E10" s="1034"/>
      <c r="F10" s="1034"/>
      <c r="G10" s="1034"/>
      <c r="H10" s="1034"/>
    </row>
    <row r="11" spans="2:8" ht="12.75" customHeight="1">
      <c r="B11" s="1034"/>
      <c r="C11" s="1034"/>
      <c r="D11" s="1034"/>
      <c r="E11" s="1034"/>
      <c r="F11" s="1034"/>
      <c r="G11" s="1034"/>
      <c r="H11" s="1034"/>
    </row>
    <row r="12" spans="2:8" ht="12.75" customHeight="1">
      <c r="B12" s="1034"/>
      <c r="C12" s="1034"/>
      <c r="D12" s="1034"/>
      <c r="E12" s="1034"/>
      <c r="F12" s="1034"/>
      <c r="G12" s="1034"/>
      <c r="H12" s="1034"/>
    </row>
    <row r="13" spans="2:8" ht="12.75" customHeight="1">
      <c r="B13" s="1034"/>
      <c r="C13" s="1034"/>
      <c r="D13" s="1034"/>
      <c r="E13" s="1034"/>
      <c r="F13" s="1034"/>
      <c r="G13" s="1034"/>
      <c r="H13" s="1034"/>
    </row>
  </sheetData>
  <mergeCells count="1">
    <mergeCell ref="B4:H13"/>
  </mergeCells>
  <printOptions horizontalCentered="1"/>
  <pageMargins left="0.70866141732283472" right="0.70866141732283472" top="0.63" bottom="0" header="0.79"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sheetPr>
    <pageSetUpPr fitToPage="1"/>
  </sheetPr>
  <dimension ref="A1:N49"/>
  <sheetViews>
    <sheetView topLeftCell="A40" zoomScaleSheetLayoutView="80" workbookViewId="0">
      <selection activeCell="E13" sqref="E13"/>
    </sheetView>
  </sheetViews>
  <sheetFormatPr defaultRowHeight="12.75"/>
  <cols>
    <col min="1" max="1" width="8.28515625" customWidth="1"/>
    <col min="2" max="2" width="14.5703125" customWidth="1"/>
    <col min="3" max="3" width="14.28515625" customWidth="1"/>
    <col min="4" max="5" width="13.5703125" customWidth="1"/>
    <col min="6" max="7" width="12.85546875" customWidth="1"/>
    <col min="8" max="8" width="15.28515625" customWidth="1"/>
    <col min="9" max="9" width="15.42578125" customWidth="1"/>
    <col min="10" max="10" width="13.28515625" customWidth="1"/>
  </cols>
  <sheetData>
    <row r="1" spans="1:10" ht="18">
      <c r="I1" s="1301" t="s">
        <v>1063</v>
      </c>
      <c r="J1" s="1301"/>
    </row>
    <row r="2" spans="1:10" ht="18">
      <c r="C2" s="1176" t="s">
        <v>0</v>
      </c>
      <c r="D2" s="1176"/>
      <c r="E2" s="1176"/>
      <c r="F2" s="1176"/>
      <c r="G2" s="1176"/>
      <c r="H2" s="1176"/>
      <c r="I2" s="212"/>
      <c r="J2" s="202"/>
    </row>
    <row r="3" spans="1:10" ht="21">
      <c r="B3" s="1177" t="s">
        <v>636</v>
      </c>
      <c r="C3" s="1177"/>
      <c r="D3" s="1177"/>
      <c r="E3" s="1177"/>
      <c r="F3" s="1177"/>
      <c r="G3" s="1177"/>
      <c r="H3" s="1177"/>
      <c r="I3" s="203"/>
      <c r="J3" s="203"/>
    </row>
    <row r="4" spans="1:10" ht="21">
      <c r="C4" s="175"/>
      <c r="D4" s="175"/>
      <c r="E4" s="175"/>
      <c r="F4" s="175"/>
      <c r="G4" s="175"/>
      <c r="H4" s="175"/>
      <c r="I4" s="175"/>
      <c r="J4" s="203"/>
    </row>
    <row r="5" spans="1:10" ht="20.25" customHeight="1">
      <c r="C5" s="1302" t="s">
        <v>933</v>
      </c>
      <c r="D5" s="1302"/>
      <c r="E5" s="1302"/>
      <c r="F5" s="1302"/>
      <c r="G5" s="1302"/>
      <c r="H5" s="1302"/>
      <c r="I5" s="1302"/>
    </row>
    <row r="6" spans="1:10" ht="20.25" customHeight="1">
      <c r="A6" s="93" t="s">
        <v>934</v>
      </c>
      <c r="C6" s="206"/>
      <c r="D6" s="206"/>
      <c r="E6" s="206"/>
      <c r="F6" s="206"/>
      <c r="G6" s="206"/>
      <c r="H6" s="206"/>
      <c r="I6" s="1304"/>
      <c r="J6" s="1304"/>
    </row>
    <row r="7" spans="1:10" s="338" customFormat="1" ht="15" customHeight="1">
      <c r="A7" s="1303" t="s">
        <v>74</v>
      </c>
      <c r="B7" s="1303" t="s">
        <v>38</v>
      </c>
      <c r="C7" s="1303" t="s">
        <v>410</v>
      </c>
      <c r="D7" s="1303" t="s">
        <v>389</v>
      </c>
      <c r="E7" s="1305" t="s">
        <v>457</v>
      </c>
      <c r="F7" s="1303" t="s">
        <v>388</v>
      </c>
      <c r="G7" s="1303"/>
      <c r="H7" s="1303"/>
      <c r="I7" s="1303" t="s">
        <v>414</v>
      </c>
      <c r="J7" s="1305" t="s">
        <v>415</v>
      </c>
    </row>
    <row r="8" spans="1:10" s="338" customFormat="1" ht="12.75" customHeight="1">
      <c r="A8" s="1303"/>
      <c r="B8" s="1303"/>
      <c r="C8" s="1303"/>
      <c r="D8" s="1303"/>
      <c r="E8" s="1306"/>
      <c r="F8" s="1303" t="s">
        <v>411</v>
      </c>
      <c r="G8" s="1303" t="s">
        <v>412</v>
      </c>
      <c r="H8" s="1303" t="s">
        <v>413</v>
      </c>
      <c r="I8" s="1303"/>
      <c r="J8" s="1306"/>
    </row>
    <row r="9" spans="1:10" s="338" customFormat="1" ht="20.25" customHeight="1">
      <c r="A9" s="1303"/>
      <c r="B9" s="1303"/>
      <c r="C9" s="1303"/>
      <c r="D9" s="1303"/>
      <c r="E9" s="1306"/>
      <c r="F9" s="1303"/>
      <c r="G9" s="1303"/>
      <c r="H9" s="1303"/>
      <c r="I9" s="1303"/>
      <c r="J9" s="1306"/>
    </row>
    <row r="10" spans="1:10" s="338" customFormat="1" ht="81" customHeight="1">
      <c r="A10" s="1303"/>
      <c r="B10" s="1303"/>
      <c r="C10" s="1303"/>
      <c r="D10" s="1303"/>
      <c r="E10" s="1307"/>
      <c r="F10" s="1303"/>
      <c r="G10" s="1303"/>
      <c r="H10" s="1303"/>
      <c r="I10" s="1303"/>
      <c r="J10" s="1307"/>
    </row>
    <row r="11" spans="1:10" ht="15">
      <c r="A11" s="208">
        <v>1</v>
      </c>
      <c r="B11" s="208">
        <v>2</v>
      </c>
      <c r="C11" s="209">
        <v>3</v>
      </c>
      <c r="D11" s="208">
        <v>4</v>
      </c>
      <c r="E11" s="209">
        <v>5</v>
      </c>
      <c r="F11" s="208">
        <v>6</v>
      </c>
      <c r="G11" s="209">
        <v>7</v>
      </c>
      <c r="H11" s="208">
        <v>8</v>
      </c>
      <c r="I11" s="209">
        <v>9</v>
      </c>
      <c r="J11" s="208">
        <v>10</v>
      </c>
    </row>
    <row r="12" spans="1:10">
      <c r="A12" s="8">
        <v>1</v>
      </c>
      <c r="B12" s="9" t="s">
        <v>825</v>
      </c>
      <c r="C12" s="420"/>
      <c r="D12" s="420"/>
      <c r="E12" s="397"/>
      <c r="F12" s="397"/>
      <c r="G12" s="397"/>
      <c r="H12" s="397"/>
      <c r="I12" s="397"/>
      <c r="J12" s="397"/>
    </row>
    <row r="13" spans="1:10">
      <c r="A13" s="8">
        <v>2</v>
      </c>
      <c r="B13" s="9" t="s">
        <v>826</v>
      </c>
      <c r="C13" s="420"/>
      <c r="D13" s="420"/>
      <c r="E13" s="397"/>
      <c r="F13" s="397"/>
      <c r="G13" s="397"/>
      <c r="H13" s="397"/>
      <c r="I13" s="397"/>
      <c r="J13" s="397"/>
    </row>
    <row r="14" spans="1:10">
      <c r="A14" s="8">
        <v>3</v>
      </c>
      <c r="B14" s="9" t="s">
        <v>827</v>
      </c>
      <c r="C14" s="420"/>
      <c r="D14" s="420"/>
      <c r="E14" s="397"/>
      <c r="F14" s="397"/>
      <c r="G14" s="397"/>
      <c r="H14" s="397"/>
      <c r="I14" s="397"/>
      <c r="J14" s="397"/>
    </row>
    <row r="15" spans="1:10">
      <c r="A15" s="8">
        <v>4</v>
      </c>
      <c r="B15" s="9" t="s">
        <v>828</v>
      </c>
      <c r="C15" s="420"/>
      <c r="D15" s="420"/>
      <c r="E15" s="397"/>
      <c r="F15" s="397"/>
      <c r="G15" s="397"/>
      <c r="H15" s="397"/>
      <c r="I15" s="397"/>
      <c r="J15" s="397"/>
    </row>
    <row r="16" spans="1:10">
      <c r="A16" s="8">
        <v>5</v>
      </c>
      <c r="B16" s="9" t="s">
        <v>829</v>
      </c>
      <c r="C16" s="420"/>
      <c r="D16" s="420"/>
      <c r="E16" s="397"/>
      <c r="F16" s="397"/>
      <c r="G16" s="397"/>
      <c r="H16" s="397"/>
      <c r="I16" s="397"/>
      <c r="J16" s="397"/>
    </row>
    <row r="17" spans="1:10">
      <c r="A17" s="8">
        <v>6</v>
      </c>
      <c r="B17" s="9" t="s">
        <v>830</v>
      </c>
      <c r="C17" s="420"/>
      <c r="D17" s="420"/>
      <c r="E17" s="397"/>
      <c r="F17" s="397"/>
      <c r="G17" s="397"/>
      <c r="H17" s="397"/>
      <c r="I17" s="397"/>
      <c r="J17" s="397"/>
    </row>
    <row r="18" spans="1:10" ht="12.75" customHeight="1">
      <c r="A18" s="8">
        <v>7</v>
      </c>
      <c r="B18" s="9" t="s">
        <v>831</v>
      </c>
      <c r="C18" s="1308" t="s">
        <v>932</v>
      </c>
      <c r="D18" s="1308"/>
      <c r="E18" s="1308"/>
      <c r="F18" s="1308"/>
      <c r="G18" s="1308"/>
      <c r="H18" s="1308"/>
      <c r="I18" s="1308"/>
      <c r="J18" s="1308"/>
    </row>
    <row r="19" spans="1:10" ht="12.75" customHeight="1">
      <c r="A19" s="8">
        <v>8</v>
      </c>
      <c r="B19" s="9" t="s">
        <v>832</v>
      </c>
      <c r="C19" s="1308"/>
      <c r="D19" s="1308"/>
      <c r="E19" s="1308"/>
      <c r="F19" s="1308"/>
      <c r="G19" s="1308"/>
      <c r="H19" s="1308"/>
      <c r="I19" s="1308"/>
      <c r="J19" s="1308"/>
    </row>
    <row r="20" spans="1:10" ht="12.75" customHeight="1">
      <c r="A20" s="8">
        <v>9</v>
      </c>
      <c r="B20" s="9" t="s">
        <v>833</v>
      </c>
      <c r="C20" s="1308"/>
      <c r="D20" s="1308"/>
      <c r="E20" s="1308"/>
      <c r="F20" s="1308"/>
      <c r="G20" s="1308"/>
      <c r="H20" s="1308"/>
      <c r="I20" s="1308"/>
      <c r="J20" s="1308"/>
    </row>
    <row r="21" spans="1:10" ht="12.75" customHeight="1">
      <c r="A21" s="8">
        <v>10</v>
      </c>
      <c r="B21" s="9" t="s">
        <v>834</v>
      </c>
      <c r="C21" s="1308"/>
      <c r="D21" s="1308"/>
      <c r="E21" s="1308"/>
      <c r="F21" s="1308"/>
      <c r="G21" s="1308"/>
      <c r="H21" s="1308"/>
      <c r="I21" s="1308"/>
      <c r="J21" s="1308"/>
    </row>
    <row r="22" spans="1:10" ht="12.75" customHeight="1">
      <c r="A22" s="8">
        <v>11</v>
      </c>
      <c r="B22" s="9" t="s">
        <v>835</v>
      </c>
      <c r="C22" s="1308"/>
      <c r="D22" s="1308"/>
      <c r="E22" s="1308"/>
      <c r="F22" s="1308"/>
      <c r="G22" s="1308"/>
      <c r="H22" s="1308"/>
      <c r="I22" s="1308"/>
      <c r="J22" s="1308"/>
    </row>
    <row r="23" spans="1:10" ht="12.75" customHeight="1">
      <c r="A23" s="8">
        <v>12</v>
      </c>
      <c r="B23" s="9" t="s">
        <v>836</v>
      </c>
      <c r="C23" s="1308"/>
      <c r="D23" s="1308"/>
      <c r="E23" s="1308"/>
      <c r="F23" s="1308"/>
      <c r="G23" s="1308"/>
      <c r="H23" s="1308"/>
      <c r="I23" s="1308"/>
      <c r="J23" s="1308"/>
    </row>
    <row r="24" spans="1:10" ht="12.75" customHeight="1">
      <c r="A24" s="8">
        <v>13</v>
      </c>
      <c r="B24" s="9" t="s">
        <v>837</v>
      </c>
      <c r="C24" s="1308"/>
      <c r="D24" s="1308"/>
      <c r="E24" s="1308"/>
      <c r="F24" s="1308"/>
      <c r="G24" s="1308"/>
      <c r="H24" s="1308"/>
      <c r="I24" s="1308"/>
      <c r="J24" s="1308"/>
    </row>
    <row r="25" spans="1:10" ht="12.75" customHeight="1">
      <c r="A25" s="8">
        <v>14</v>
      </c>
      <c r="B25" s="9" t="s">
        <v>838</v>
      </c>
      <c r="C25" s="1308"/>
      <c r="D25" s="1308"/>
      <c r="E25" s="1308"/>
      <c r="F25" s="1308"/>
      <c r="G25" s="1308"/>
      <c r="H25" s="1308"/>
      <c r="I25" s="1308"/>
      <c r="J25" s="1308"/>
    </row>
    <row r="26" spans="1:10" ht="12.75" customHeight="1">
      <c r="A26" s="8">
        <v>15</v>
      </c>
      <c r="B26" s="9" t="s">
        <v>839</v>
      </c>
      <c r="C26" s="1308"/>
      <c r="D26" s="1308"/>
      <c r="E26" s="1308"/>
      <c r="F26" s="1308"/>
      <c r="G26" s="1308"/>
      <c r="H26" s="1308"/>
      <c r="I26" s="1308"/>
      <c r="J26" s="1308"/>
    </row>
    <row r="27" spans="1:10" ht="12.75" customHeight="1">
      <c r="A27" s="8">
        <v>16</v>
      </c>
      <c r="B27" s="9" t="s">
        <v>840</v>
      </c>
      <c r="C27" s="1308"/>
      <c r="D27" s="1308"/>
      <c r="E27" s="1308"/>
      <c r="F27" s="1308"/>
      <c r="G27" s="1308"/>
      <c r="H27" s="1308"/>
      <c r="I27" s="1308"/>
      <c r="J27" s="1308"/>
    </row>
    <row r="28" spans="1:10" ht="12.75" customHeight="1">
      <c r="A28" s="8">
        <v>17</v>
      </c>
      <c r="B28" s="9" t="s">
        <v>841</v>
      </c>
      <c r="C28" s="1308"/>
      <c r="D28" s="1308"/>
      <c r="E28" s="1308"/>
      <c r="F28" s="1308"/>
      <c r="G28" s="1308"/>
      <c r="H28" s="1308"/>
      <c r="I28" s="1308"/>
      <c r="J28" s="1308"/>
    </row>
    <row r="29" spans="1:10" ht="12.75" customHeight="1">
      <c r="A29" s="8">
        <v>18</v>
      </c>
      <c r="B29" s="9" t="s">
        <v>842</v>
      </c>
      <c r="C29" s="1308"/>
      <c r="D29" s="1308"/>
      <c r="E29" s="1308"/>
      <c r="F29" s="1308"/>
      <c r="G29" s="1308"/>
      <c r="H29" s="1308"/>
      <c r="I29" s="1308"/>
      <c r="J29" s="1308"/>
    </row>
    <row r="30" spans="1:10" ht="12.75" customHeight="1">
      <c r="A30" s="8">
        <v>19</v>
      </c>
      <c r="B30" s="9" t="s">
        <v>843</v>
      </c>
      <c r="C30" s="1308"/>
      <c r="D30" s="1308"/>
      <c r="E30" s="1308"/>
      <c r="F30" s="1308"/>
      <c r="G30" s="1308"/>
      <c r="H30" s="1308"/>
      <c r="I30" s="1308"/>
      <c r="J30" s="1308"/>
    </row>
    <row r="31" spans="1:10" ht="15" customHeight="1">
      <c r="A31" s="8">
        <v>20</v>
      </c>
      <c r="B31" s="9" t="s">
        <v>844</v>
      </c>
      <c r="C31" s="1308"/>
      <c r="D31" s="1308"/>
      <c r="E31" s="1308"/>
      <c r="F31" s="1308"/>
      <c r="G31" s="1308"/>
      <c r="H31" s="1308"/>
      <c r="I31" s="1308"/>
      <c r="J31" s="1308"/>
    </row>
    <row r="32" spans="1:10" ht="15" customHeight="1">
      <c r="A32" s="8">
        <v>21</v>
      </c>
      <c r="B32" s="9" t="s">
        <v>845</v>
      </c>
      <c r="C32" s="421"/>
      <c r="D32" s="421"/>
      <c r="E32" s="397"/>
      <c r="F32" s="397"/>
      <c r="G32" s="397"/>
      <c r="H32" s="397"/>
      <c r="I32" s="397"/>
      <c r="J32" s="397"/>
    </row>
    <row r="33" spans="1:14">
      <c r="A33" s="8">
        <v>22</v>
      </c>
      <c r="B33" s="9" t="s">
        <v>846</v>
      </c>
      <c r="C33" s="421"/>
      <c r="D33" s="421"/>
      <c r="E33" s="397"/>
      <c r="F33" s="397"/>
      <c r="G33" s="397"/>
      <c r="H33" s="397"/>
      <c r="I33" s="397"/>
      <c r="J33" s="397"/>
    </row>
    <row r="34" spans="1:14">
      <c r="A34" s="8">
        <v>23</v>
      </c>
      <c r="B34" s="9" t="s">
        <v>847</v>
      </c>
      <c r="C34" s="421"/>
      <c r="D34" s="421"/>
      <c r="E34" s="397"/>
      <c r="F34" s="397"/>
      <c r="G34" s="397"/>
      <c r="H34" s="397"/>
      <c r="I34" s="397"/>
      <c r="J34" s="397"/>
    </row>
    <row r="35" spans="1:14">
      <c r="A35" s="8">
        <v>24</v>
      </c>
      <c r="B35" s="9" t="s">
        <v>848</v>
      </c>
      <c r="C35" s="421"/>
      <c r="D35" s="421"/>
      <c r="E35" s="397"/>
      <c r="F35" s="397"/>
      <c r="G35" s="397"/>
      <c r="H35" s="397"/>
      <c r="I35" s="397"/>
      <c r="J35" s="397"/>
    </row>
    <row r="36" spans="1:14">
      <c r="A36" s="8">
        <v>25</v>
      </c>
      <c r="B36" s="9" t="s">
        <v>849</v>
      </c>
      <c r="C36" s="421"/>
      <c r="D36" s="421"/>
      <c r="E36" s="397"/>
      <c r="F36" s="397"/>
      <c r="G36" s="397"/>
      <c r="H36" s="397"/>
      <c r="I36" s="397"/>
      <c r="J36" s="397"/>
    </row>
    <row r="37" spans="1:14">
      <c r="A37" s="8">
        <v>26</v>
      </c>
      <c r="B37" s="9" t="s">
        <v>850</v>
      </c>
      <c r="C37" s="421"/>
      <c r="D37" s="421"/>
      <c r="E37" s="397"/>
      <c r="F37" s="397"/>
      <c r="G37" s="397"/>
      <c r="H37" s="397"/>
      <c r="I37" s="397"/>
      <c r="J37" s="397"/>
    </row>
    <row r="38" spans="1:14">
      <c r="A38" s="8">
        <v>27</v>
      </c>
      <c r="B38" s="9" t="s">
        <v>851</v>
      </c>
      <c r="C38" s="422"/>
      <c r="D38" s="422"/>
      <c r="E38" s="397"/>
      <c r="F38" s="397"/>
      <c r="G38" s="423"/>
      <c r="H38" s="397"/>
      <c r="I38" s="397"/>
      <c r="J38" s="397"/>
    </row>
    <row r="39" spans="1:14">
      <c r="A39" s="8">
        <v>28</v>
      </c>
      <c r="B39" s="9" t="s">
        <v>852</v>
      </c>
      <c r="C39" s="422"/>
      <c r="D39" s="422"/>
      <c r="E39" s="397"/>
      <c r="F39" s="397"/>
      <c r="G39" s="423"/>
      <c r="H39" s="397"/>
      <c r="I39" s="397"/>
      <c r="J39" s="397"/>
    </row>
    <row r="40" spans="1:14">
      <c r="A40" s="8">
        <v>29</v>
      </c>
      <c r="B40" s="9" t="s">
        <v>853</v>
      </c>
      <c r="C40" s="422"/>
      <c r="D40" s="422"/>
      <c r="E40" s="397"/>
      <c r="F40" s="397"/>
      <c r="G40" s="423"/>
      <c r="H40" s="397"/>
      <c r="I40" s="397"/>
      <c r="J40" s="397"/>
    </row>
    <row r="41" spans="1:14">
      <c r="A41" s="8">
        <v>30</v>
      </c>
      <c r="B41" s="9" t="s">
        <v>854</v>
      </c>
      <c r="C41" s="422"/>
      <c r="D41" s="422"/>
      <c r="E41" s="397"/>
      <c r="F41" s="397"/>
      <c r="G41" s="423"/>
      <c r="H41" s="397"/>
      <c r="I41" s="397"/>
      <c r="J41" s="397"/>
    </row>
    <row r="42" spans="1:14">
      <c r="A42" s="8">
        <v>31</v>
      </c>
      <c r="B42" s="9" t="s">
        <v>855</v>
      </c>
      <c r="C42" s="422"/>
      <c r="D42" s="422"/>
      <c r="E42" s="397"/>
      <c r="F42" s="397"/>
      <c r="G42" s="423"/>
      <c r="H42" s="397"/>
      <c r="I42" s="397"/>
      <c r="J42" s="397"/>
    </row>
    <row r="43" spans="1:14">
      <c r="A43" s="8">
        <v>32</v>
      </c>
      <c r="B43" s="9" t="s">
        <v>856</v>
      </c>
      <c r="C43" s="422"/>
      <c r="D43" s="422"/>
      <c r="E43" s="397"/>
      <c r="F43" s="397"/>
      <c r="G43" s="423"/>
      <c r="H43" s="397"/>
      <c r="I43" s="397"/>
      <c r="J43" s="397"/>
    </row>
    <row r="44" spans="1:14">
      <c r="A44" s="8">
        <v>33</v>
      </c>
      <c r="B44" s="9" t="s">
        <v>857</v>
      </c>
      <c r="C44" s="422"/>
      <c r="D44" s="422"/>
      <c r="E44" s="397"/>
      <c r="F44" s="397"/>
      <c r="G44" s="423"/>
      <c r="H44" s="397"/>
      <c r="I44" s="397"/>
      <c r="J44" s="397"/>
    </row>
    <row r="45" spans="1:14">
      <c r="A45" s="29" t="s">
        <v>18</v>
      </c>
      <c r="B45" s="29"/>
      <c r="C45" s="424">
        <v>0</v>
      </c>
      <c r="D45" s="424">
        <v>0</v>
      </c>
      <c r="E45" s="425">
        <f t="shared" ref="E45:J45" si="0">SUM(E12:E44)</f>
        <v>0</v>
      </c>
      <c r="F45" s="425">
        <f t="shared" si="0"/>
        <v>0</v>
      </c>
      <c r="G45" s="425">
        <f>SUM(G12:G44)</f>
        <v>0</v>
      </c>
      <c r="H45" s="425">
        <f t="shared" si="0"/>
        <v>0</v>
      </c>
      <c r="I45" s="425">
        <f t="shared" si="0"/>
        <v>0</v>
      </c>
      <c r="J45" s="425">
        <f t="shared" si="0"/>
        <v>0</v>
      </c>
    </row>
    <row r="47" spans="1:14" s="994" customFormat="1" ht="15.75" customHeight="1">
      <c r="A47" s="15" t="s">
        <v>12</v>
      </c>
      <c r="B47" s="15"/>
      <c r="C47" s="15"/>
      <c r="D47" s="15"/>
      <c r="E47" s="15"/>
      <c r="I47" s="1040" t="s">
        <v>1106</v>
      </c>
      <c r="J47" s="1040"/>
      <c r="K47" s="1040"/>
    </row>
    <row r="48" spans="1:14" s="994" customFormat="1" ht="15.6" customHeight="1">
      <c r="I48" s="1040" t="s">
        <v>481</v>
      </c>
      <c r="J48" s="1040"/>
      <c r="K48" s="1040"/>
      <c r="M48" s="998"/>
      <c r="N48" s="998"/>
    </row>
    <row r="49" spans="9:14" s="994" customFormat="1" ht="15.6" customHeight="1">
      <c r="I49" s="1040" t="s">
        <v>1107</v>
      </c>
      <c r="J49" s="1040"/>
      <c r="K49" s="1040"/>
      <c r="M49" s="998"/>
      <c r="N49" s="998"/>
    </row>
  </sheetData>
  <mergeCells count="20">
    <mergeCell ref="A7:A10"/>
    <mergeCell ref="H8:H10"/>
    <mergeCell ref="I7:I10"/>
    <mergeCell ref="E7:E10"/>
    <mergeCell ref="B7:B10"/>
    <mergeCell ref="C7:C10"/>
    <mergeCell ref="F7:H7"/>
    <mergeCell ref="C18:J31"/>
    <mergeCell ref="G8:G10"/>
    <mergeCell ref="I47:K47"/>
    <mergeCell ref="I48:K48"/>
    <mergeCell ref="I49:K49"/>
    <mergeCell ref="I1:J1"/>
    <mergeCell ref="C5:I5"/>
    <mergeCell ref="D7:D10"/>
    <mergeCell ref="I6:J6"/>
    <mergeCell ref="C2:H2"/>
    <mergeCell ref="B3:H3"/>
    <mergeCell ref="J7:J10"/>
    <mergeCell ref="F8:F10"/>
  </mergeCells>
  <printOptions horizontalCentered="1"/>
  <pageMargins left="0.70866141732283472" right="0.70866141732283472" top="0.63" bottom="0" header="0.79" footer="0.31496062992125984"/>
  <pageSetup paperSize="9" scale="99"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N22"/>
  <sheetViews>
    <sheetView topLeftCell="A16" zoomScaleSheetLayoutView="68" workbookViewId="0">
      <selection activeCell="E13" sqref="E13"/>
    </sheetView>
  </sheetViews>
  <sheetFormatPr defaultRowHeight="12.75"/>
  <cols>
    <col min="2" max="2" width="10.140625" customWidth="1"/>
    <col min="6" max="6" width="11.5703125" customWidth="1"/>
    <col min="7" max="7" width="10.42578125" customWidth="1"/>
    <col min="8" max="8" width="20.28515625" customWidth="1"/>
    <col min="9" max="9" width="10.42578125" customWidth="1"/>
    <col min="10" max="10" width="22.85546875" customWidth="1"/>
  </cols>
  <sheetData>
    <row r="1" spans="1:13" ht="18">
      <c r="A1" s="1176" t="s">
        <v>0</v>
      </c>
      <c r="B1" s="1176"/>
      <c r="C1" s="1176"/>
      <c r="D1" s="1176"/>
      <c r="E1" s="1176"/>
      <c r="F1" s="1176"/>
      <c r="G1" s="1176"/>
      <c r="H1" s="1176"/>
      <c r="I1" s="202"/>
      <c r="J1" s="240" t="s">
        <v>549</v>
      </c>
    </row>
    <row r="2" spans="1:13" ht="21">
      <c r="A2" s="1177" t="s">
        <v>636</v>
      </c>
      <c r="B2" s="1177"/>
      <c r="C2" s="1177"/>
      <c r="D2" s="1177"/>
      <c r="E2" s="1177"/>
      <c r="F2" s="1177"/>
      <c r="G2" s="1177"/>
      <c r="H2" s="1177"/>
      <c r="I2" s="1177"/>
      <c r="J2" s="1177"/>
    </row>
    <row r="3" spans="1:13" ht="15">
      <c r="A3" s="176"/>
      <c r="B3" s="176"/>
      <c r="C3" s="176"/>
      <c r="D3" s="176"/>
      <c r="E3" s="176"/>
      <c r="F3" s="176"/>
      <c r="G3" s="176"/>
      <c r="H3" s="176"/>
      <c r="I3" s="176"/>
    </row>
    <row r="4" spans="1:13" ht="18">
      <c r="A4" s="1176" t="s">
        <v>548</v>
      </c>
      <c r="B4" s="1176"/>
      <c r="C4" s="1176"/>
      <c r="D4" s="1176"/>
      <c r="E4" s="1176"/>
      <c r="F4" s="1176"/>
      <c r="G4" s="1176"/>
      <c r="H4" s="1176"/>
      <c r="I4" s="1176"/>
    </row>
    <row r="5" spans="1:13" ht="15">
      <c r="A5" s="93" t="s">
        <v>934</v>
      </c>
      <c r="B5" s="177"/>
      <c r="C5" s="177"/>
      <c r="D5" s="177"/>
      <c r="E5" s="177"/>
      <c r="F5" s="177"/>
      <c r="G5" s="177"/>
      <c r="H5" s="177"/>
      <c r="I5" s="176" t="s">
        <v>935</v>
      </c>
    </row>
    <row r="6" spans="1:13" ht="25.5" customHeight="1">
      <c r="A6" s="1309" t="s">
        <v>2</v>
      </c>
      <c r="B6" s="1309" t="s">
        <v>390</v>
      </c>
      <c r="C6" s="1083" t="s">
        <v>391</v>
      </c>
      <c r="D6" s="1083"/>
      <c r="E6" s="1083"/>
      <c r="F6" s="1310" t="s">
        <v>394</v>
      </c>
      <c r="G6" s="1311"/>
      <c r="H6" s="1311"/>
      <c r="I6" s="1312"/>
      <c r="J6" s="1313" t="s">
        <v>398</v>
      </c>
    </row>
    <row r="7" spans="1:13" ht="63" customHeight="1">
      <c r="A7" s="1309"/>
      <c r="B7" s="1309"/>
      <c r="C7" s="36" t="s">
        <v>100</v>
      </c>
      <c r="D7" s="36" t="s">
        <v>392</v>
      </c>
      <c r="E7" s="36" t="s">
        <v>393</v>
      </c>
      <c r="F7" s="205" t="s">
        <v>395</v>
      </c>
      <c r="G7" s="205" t="s">
        <v>396</v>
      </c>
      <c r="H7" s="205" t="s">
        <v>397</v>
      </c>
      <c r="I7" s="205" t="s">
        <v>48</v>
      </c>
      <c r="J7" s="1314"/>
    </row>
    <row r="8" spans="1:13" ht="15">
      <c r="A8" s="179" t="s">
        <v>268</v>
      </c>
      <c r="B8" s="179" t="s">
        <v>269</v>
      </c>
      <c r="C8" s="179" t="s">
        <v>270</v>
      </c>
      <c r="D8" s="179" t="s">
        <v>271</v>
      </c>
      <c r="E8" s="179" t="s">
        <v>272</v>
      </c>
      <c r="F8" s="179" t="s">
        <v>275</v>
      </c>
      <c r="G8" s="179" t="s">
        <v>293</v>
      </c>
      <c r="H8" s="179" t="s">
        <v>294</v>
      </c>
      <c r="I8" s="179" t="s">
        <v>295</v>
      </c>
      <c r="J8" s="179" t="s">
        <v>323</v>
      </c>
    </row>
    <row r="9" spans="1:13">
      <c r="A9" s="1275" t="s">
        <v>936</v>
      </c>
      <c r="B9" s="1276"/>
      <c r="C9" s="1276"/>
      <c r="D9" s="1276"/>
      <c r="E9" s="1276"/>
      <c r="F9" s="1276"/>
      <c r="G9" s="1276"/>
      <c r="H9" s="1276"/>
      <c r="I9" s="1276"/>
      <c r="J9" s="1277"/>
    </row>
    <row r="10" spans="1:13">
      <c r="A10" s="1278"/>
      <c r="B10" s="1279"/>
      <c r="C10" s="1279"/>
      <c r="D10" s="1279"/>
      <c r="E10" s="1279"/>
      <c r="F10" s="1279"/>
      <c r="G10" s="1279"/>
      <c r="H10" s="1279"/>
      <c r="I10" s="1279"/>
      <c r="J10" s="1280"/>
    </row>
    <row r="11" spans="1:13">
      <c r="A11" s="1278"/>
      <c r="B11" s="1279"/>
      <c r="C11" s="1279"/>
      <c r="D11" s="1279"/>
      <c r="E11" s="1279"/>
      <c r="F11" s="1279"/>
      <c r="G11" s="1279"/>
      <c r="H11" s="1279"/>
      <c r="I11" s="1279"/>
      <c r="J11" s="1280"/>
    </row>
    <row r="12" spans="1:13">
      <c r="A12" s="1278"/>
      <c r="B12" s="1279"/>
      <c r="C12" s="1279"/>
      <c r="D12" s="1279"/>
      <c r="E12" s="1279"/>
      <c r="F12" s="1279"/>
      <c r="G12" s="1279"/>
      <c r="H12" s="1279"/>
      <c r="I12" s="1279"/>
      <c r="J12" s="1280"/>
    </row>
    <row r="13" spans="1:13">
      <c r="A13" s="1278"/>
      <c r="B13" s="1279"/>
      <c r="C13" s="1279"/>
      <c r="D13" s="1279"/>
      <c r="E13" s="1279"/>
      <c r="F13" s="1279"/>
      <c r="G13" s="1279"/>
      <c r="H13" s="1279"/>
      <c r="I13" s="1279"/>
      <c r="J13" s="1280"/>
      <c r="M13" s="16" t="s">
        <v>399</v>
      </c>
    </row>
    <row r="14" spans="1:13">
      <c r="A14" s="1278"/>
      <c r="B14" s="1279"/>
      <c r="C14" s="1279"/>
      <c r="D14" s="1279"/>
      <c r="E14" s="1279"/>
      <c r="F14" s="1279"/>
      <c r="G14" s="1279"/>
      <c r="H14" s="1279"/>
      <c r="I14" s="1279"/>
      <c r="J14" s="1280"/>
    </row>
    <row r="15" spans="1:13">
      <c r="A15" s="1278"/>
      <c r="B15" s="1279"/>
      <c r="C15" s="1279"/>
      <c r="D15" s="1279"/>
      <c r="E15" s="1279"/>
      <c r="F15" s="1279"/>
      <c r="G15" s="1279"/>
      <c r="H15" s="1279"/>
      <c r="I15" s="1279"/>
      <c r="J15" s="1280"/>
    </row>
    <row r="16" spans="1:13">
      <c r="A16" s="1278"/>
      <c r="B16" s="1279"/>
      <c r="C16" s="1279"/>
      <c r="D16" s="1279"/>
      <c r="E16" s="1279"/>
      <c r="F16" s="1279"/>
      <c r="G16" s="1279"/>
      <c r="H16" s="1279"/>
      <c r="I16" s="1279"/>
      <c r="J16" s="1280"/>
    </row>
    <row r="17" spans="1:14">
      <c r="A17" s="1281"/>
      <c r="B17" s="1282"/>
      <c r="C17" s="1282"/>
      <c r="D17" s="1282"/>
      <c r="E17" s="1282"/>
      <c r="F17" s="1282"/>
      <c r="G17" s="1282"/>
      <c r="H17" s="1282"/>
      <c r="I17" s="1282"/>
      <c r="J17" s="1283"/>
    </row>
    <row r="20" spans="1:14" s="994" customFormat="1" ht="15.75" customHeight="1">
      <c r="A20" s="15" t="s">
        <v>12</v>
      </c>
      <c r="B20" s="15"/>
      <c r="C20" s="15"/>
      <c r="F20" s="998"/>
      <c r="H20" s="1040" t="s">
        <v>1106</v>
      </c>
      <c r="I20" s="1040"/>
      <c r="J20" s="992"/>
    </row>
    <row r="21" spans="1:14" s="994" customFormat="1" ht="15.6" customHeight="1">
      <c r="F21" s="998"/>
      <c r="H21" s="1040" t="s">
        <v>481</v>
      </c>
      <c r="I21" s="1040"/>
      <c r="M21" s="998"/>
      <c r="N21" s="998"/>
    </row>
    <row r="22" spans="1:14" s="994" customFormat="1" ht="15.6" customHeight="1">
      <c r="F22" s="998"/>
      <c r="H22" s="1040" t="s">
        <v>1107</v>
      </c>
      <c r="I22" s="1040"/>
      <c r="M22" s="998"/>
      <c r="N22" s="998"/>
    </row>
  </sheetData>
  <mergeCells count="12">
    <mergeCell ref="H22:I22"/>
    <mergeCell ref="A1:H1"/>
    <mergeCell ref="A2:J2"/>
    <mergeCell ref="A4:I4"/>
    <mergeCell ref="A6:A7"/>
    <mergeCell ref="B6:B7"/>
    <mergeCell ref="C6:E6"/>
    <mergeCell ref="F6:I6"/>
    <mergeCell ref="A9:J17"/>
    <mergeCell ref="J6:J7"/>
    <mergeCell ref="H20:I20"/>
    <mergeCell ref="H21:I21"/>
  </mergeCells>
  <printOptions horizontalCentered="1"/>
  <pageMargins left="0.70866141732283472" right="0.70866141732283472" top="0.63" bottom="0" header="0.79"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N28"/>
  <sheetViews>
    <sheetView topLeftCell="A22" zoomScaleSheetLayoutView="80" workbookViewId="0">
      <selection activeCell="E13" sqref="E13"/>
    </sheetView>
  </sheetViews>
  <sheetFormatPr defaultColWidth="9.140625" defaultRowHeight="12.75"/>
  <cols>
    <col min="1" max="1" width="5.28515625" style="181" customWidth="1"/>
    <col min="2" max="2" width="8.5703125" style="181" customWidth="1"/>
    <col min="3" max="3" width="32.140625" style="181" customWidth="1"/>
    <col min="4" max="4" width="15.140625" style="181" customWidth="1"/>
    <col min="5" max="6" width="11.7109375" style="181" customWidth="1"/>
    <col min="7" max="7" width="13.7109375" style="181" customWidth="1"/>
    <col min="8" max="8" width="20.140625" style="181" customWidth="1"/>
    <col min="9" max="16384" width="9.140625" style="181"/>
  </cols>
  <sheetData>
    <row r="1" spans="1:8">
      <c r="A1" s="181" t="s">
        <v>11</v>
      </c>
      <c r="H1" s="195" t="s">
        <v>551</v>
      </c>
    </row>
    <row r="2" spans="1:8" s="184" customFormat="1" ht="15.75">
      <c r="A2" s="1321" t="s">
        <v>0</v>
      </c>
      <c r="B2" s="1321"/>
      <c r="C2" s="1321"/>
      <c r="D2" s="1321"/>
      <c r="E2" s="1321"/>
      <c r="F2" s="1321"/>
      <c r="G2" s="1321"/>
      <c r="H2" s="1321"/>
    </row>
    <row r="3" spans="1:8" s="184" customFormat="1" ht="20.25" customHeight="1">
      <c r="A3" s="1322" t="s">
        <v>636</v>
      </c>
      <c r="B3" s="1322"/>
      <c r="C3" s="1322"/>
      <c r="D3" s="1322"/>
      <c r="E3" s="1322"/>
      <c r="F3" s="1322"/>
      <c r="G3" s="1322"/>
      <c r="H3" s="1322"/>
    </row>
    <row r="4" spans="1:8" s="184" customFormat="1" ht="15.75">
      <c r="A4" s="1323" t="s">
        <v>550</v>
      </c>
      <c r="B4" s="1323"/>
      <c r="C4" s="1323"/>
      <c r="D4" s="1323"/>
      <c r="E4" s="1323"/>
      <c r="F4" s="1323"/>
      <c r="G4" s="1323"/>
      <c r="H4" s="1324"/>
    </row>
    <row r="5" spans="1:8">
      <c r="A5" s="1325" t="s">
        <v>1047</v>
      </c>
      <c r="B5" s="1325"/>
      <c r="C5" s="1325"/>
      <c r="D5" s="187"/>
      <c r="E5" s="187"/>
      <c r="F5" s="187"/>
      <c r="G5" s="1326" t="s">
        <v>935</v>
      </c>
      <c r="H5" s="1326"/>
    </row>
    <row r="6" spans="1:8" s="188" customFormat="1" ht="39.75" customHeight="1">
      <c r="A6" s="189"/>
      <c r="B6" s="1316" t="s">
        <v>287</v>
      </c>
      <c r="C6" s="1316" t="s">
        <v>288</v>
      </c>
      <c r="D6" s="1318" t="s">
        <v>289</v>
      </c>
      <c r="E6" s="1319"/>
      <c r="F6" s="1319"/>
      <c r="G6" s="1320"/>
      <c r="H6" s="1316" t="s">
        <v>78</v>
      </c>
    </row>
    <row r="7" spans="1:8" s="188" customFormat="1" ht="25.5">
      <c r="A7" s="190"/>
      <c r="B7" s="1317"/>
      <c r="C7" s="1317"/>
      <c r="D7" s="272" t="s">
        <v>290</v>
      </c>
      <c r="E7" s="272" t="s">
        <v>291</v>
      </c>
      <c r="F7" s="272" t="s">
        <v>292</v>
      </c>
      <c r="G7" s="272" t="s">
        <v>18</v>
      </c>
      <c r="H7" s="1317"/>
    </row>
    <row r="8" spans="1:8" s="188" customFormat="1" ht="15">
      <c r="A8" s="190"/>
      <c r="B8" s="196" t="s">
        <v>268</v>
      </c>
      <c r="C8" s="196" t="s">
        <v>269</v>
      </c>
      <c r="D8" s="196" t="s">
        <v>270</v>
      </c>
      <c r="E8" s="196" t="s">
        <v>271</v>
      </c>
      <c r="F8" s="196" t="s">
        <v>272</v>
      </c>
      <c r="G8" s="196" t="s">
        <v>273</v>
      </c>
      <c r="H8" s="196" t="s">
        <v>274</v>
      </c>
    </row>
    <row r="9" spans="1:8" s="197" customFormat="1" ht="15" customHeight="1">
      <c r="B9" s="198" t="s">
        <v>30</v>
      </c>
      <c r="C9" s="1327" t="s">
        <v>296</v>
      </c>
      <c r="D9" s="1328"/>
      <c r="E9" s="1328"/>
      <c r="F9" s="1328"/>
      <c r="G9" s="1328"/>
      <c r="H9" s="1329"/>
    </row>
    <row r="10" spans="1:8" s="200" customFormat="1">
      <c r="B10" s="199"/>
      <c r="C10" s="199" t="s">
        <v>1095</v>
      </c>
      <c r="D10" s="198">
        <v>1</v>
      </c>
      <c r="E10" s="198">
        <v>0</v>
      </c>
      <c r="F10" s="198">
        <v>0</v>
      </c>
      <c r="G10" s="198">
        <f t="shared" ref="G10:G15" si="0">D10+E10+F10</f>
        <v>1</v>
      </c>
      <c r="H10" s="199"/>
    </row>
    <row r="11" spans="1:8" s="200" customFormat="1">
      <c r="B11" s="199"/>
      <c r="C11" s="199" t="s">
        <v>1096</v>
      </c>
      <c r="D11" s="198">
        <v>1</v>
      </c>
      <c r="E11" s="198">
        <v>0</v>
      </c>
      <c r="F11" s="198">
        <v>0</v>
      </c>
      <c r="G11" s="198">
        <v>0</v>
      </c>
      <c r="H11" s="199"/>
    </row>
    <row r="12" spans="1:8" ht="14.25">
      <c r="A12" s="192"/>
      <c r="B12" s="130"/>
      <c r="C12" s="201" t="s">
        <v>1097</v>
      </c>
      <c r="D12" s="145">
        <v>1</v>
      </c>
      <c r="E12" s="145">
        <v>0</v>
      </c>
      <c r="F12" s="145">
        <v>0</v>
      </c>
      <c r="G12" s="198">
        <f t="shared" si="0"/>
        <v>1</v>
      </c>
      <c r="H12" s="130"/>
    </row>
    <row r="13" spans="1:8">
      <c r="B13" s="191"/>
      <c r="C13" s="201" t="s">
        <v>986</v>
      </c>
      <c r="D13" s="145">
        <v>0</v>
      </c>
      <c r="E13" s="145">
        <v>14</v>
      </c>
      <c r="F13" s="145">
        <v>0</v>
      </c>
      <c r="G13" s="198">
        <f t="shared" si="0"/>
        <v>14</v>
      </c>
      <c r="H13" s="130"/>
    </row>
    <row r="14" spans="1:8" s="127" customFormat="1">
      <c r="B14" s="130"/>
      <c r="C14" s="201" t="s">
        <v>987</v>
      </c>
      <c r="D14" s="145">
        <v>1</v>
      </c>
      <c r="E14" s="145">
        <v>1</v>
      </c>
      <c r="F14" s="145">
        <v>0</v>
      </c>
      <c r="G14" s="198">
        <f t="shared" si="0"/>
        <v>2</v>
      </c>
      <c r="H14" s="129"/>
    </row>
    <row r="15" spans="1:8" s="127" customFormat="1">
      <c r="B15" s="130"/>
      <c r="C15" s="201" t="s">
        <v>988</v>
      </c>
      <c r="D15" s="145">
        <v>17</v>
      </c>
      <c r="E15" s="145">
        <v>32</v>
      </c>
      <c r="F15" s="145">
        <v>76</v>
      </c>
      <c r="G15" s="198">
        <f t="shared" si="0"/>
        <v>125</v>
      </c>
      <c r="H15" s="129"/>
    </row>
    <row r="16" spans="1:8" s="127" customFormat="1">
      <c r="B16" s="130"/>
      <c r="C16" s="201" t="s">
        <v>989</v>
      </c>
      <c r="D16" s="145">
        <v>5</v>
      </c>
      <c r="E16" s="145">
        <v>37</v>
      </c>
      <c r="F16" s="145">
        <v>58</v>
      </c>
      <c r="G16" s="198">
        <v>105</v>
      </c>
      <c r="H16" s="129"/>
    </row>
    <row r="17" spans="1:14" s="127" customFormat="1" ht="21.75" customHeight="1">
      <c r="B17" s="198" t="s">
        <v>34</v>
      </c>
      <c r="C17" s="1327" t="s">
        <v>465</v>
      </c>
      <c r="D17" s="1328"/>
      <c r="E17" s="1328"/>
      <c r="F17" s="1328"/>
      <c r="G17" s="1328"/>
      <c r="H17" s="1329"/>
    </row>
    <row r="18" spans="1:14" s="127" customFormat="1">
      <c r="A18" s="194" t="s">
        <v>286</v>
      </c>
      <c r="B18" s="193"/>
      <c r="C18" s="199" t="s">
        <v>990</v>
      </c>
      <c r="D18" s="128">
        <v>2</v>
      </c>
      <c r="E18" s="128">
        <v>0</v>
      </c>
      <c r="F18" s="128">
        <v>0</v>
      </c>
      <c r="G18" s="128">
        <f t="shared" ref="G18:G23" si="1">D18+E18+F18</f>
        <v>2</v>
      </c>
      <c r="H18" s="129"/>
    </row>
    <row r="19" spans="1:14">
      <c r="B19" s="130"/>
      <c r="C19" s="199" t="s">
        <v>991</v>
      </c>
      <c r="D19" s="145">
        <v>0</v>
      </c>
      <c r="E19" s="145">
        <v>33</v>
      </c>
      <c r="F19" s="145">
        <v>0</v>
      </c>
      <c r="G19" s="128">
        <f t="shared" si="1"/>
        <v>33</v>
      </c>
      <c r="H19" s="130"/>
    </row>
    <row r="20" spans="1:14">
      <c r="B20" s="130"/>
      <c r="C20" s="201" t="s">
        <v>992</v>
      </c>
      <c r="D20" s="145">
        <v>1</v>
      </c>
      <c r="E20" s="145">
        <v>0</v>
      </c>
      <c r="F20" s="145">
        <v>0</v>
      </c>
      <c r="G20" s="128">
        <f t="shared" si="1"/>
        <v>1</v>
      </c>
      <c r="H20" s="130"/>
    </row>
    <row r="21" spans="1:14">
      <c r="B21" s="130"/>
      <c r="C21" s="201" t="s">
        <v>993</v>
      </c>
      <c r="D21" s="145">
        <v>3</v>
      </c>
      <c r="E21" s="145">
        <v>0</v>
      </c>
      <c r="F21" s="145">
        <v>0</v>
      </c>
      <c r="G21" s="128">
        <f t="shared" si="1"/>
        <v>3</v>
      </c>
      <c r="H21" s="130"/>
    </row>
    <row r="22" spans="1:14">
      <c r="B22" s="130"/>
      <c r="C22" s="201" t="s">
        <v>994</v>
      </c>
      <c r="D22" s="145">
        <v>0</v>
      </c>
      <c r="E22" s="145">
        <v>0</v>
      </c>
      <c r="F22" s="145">
        <v>234</v>
      </c>
      <c r="G22" s="128">
        <f t="shared" si="1"/>
        <v>234</v>
      </c>
      <c r="H22" s="130"/>
    </row>
    <row r="23" spans="1:14">
      <c r="B23" s="130"/>
      <c r="C23" s="130" t="s">
        <v>995</v>
      </c>
      <c r="D23" s="145">
        <v>0</v>
      </c>
      <c r="E23" s="145">
        <v>0</v>
      </c>
      <c r="F23" s="145">
        <v>102</v>
      </c>
      <c r="G23" s="128">
        <f t="shared" si="1"/>
        <v>102</v>
      </c>
      <c r="H23" s="130"/>
    </row>
    <row r="24" spans="1:14">
      <c r="B24" s="188"/>
      <c r="C24" s="188"/>
      <c r="D24" s="803"/>
      <c r="E24" s="803"/>
      <c r="F24" s="803"/>
      <c r="G24" s="775"/>
      <c r="H24" s="188"/>
    </row>
    <row r="25" spans="1:14" s="994" customFormat="1" ht="15.75" customHeight="1">
      <c r="A25" s="15" t="s">
        <v>12</v>
      </c>
      <c r="B25" s="15"/>
      <c r="C25" s="15"/>
      <c r="F25" s="998"/>
      <c r="H25" s="1040" t="s">
        <v>1106</v>
      </c>
      <c r="I25" s="1040"/>
      <c r="J25" s="992"/>
    </row>
    <row r="26" spans="1:14" s="994" customFormat="1" ht="15.6" customHeight="1">
      <c r="F26" s="998"/>
      <c r="H26" s="1040" t="s">
        <v>481</v>
      </c>
      <c r="I26" s="1040"/>
      <c r="M26" s="998"/>
      <c r="N26" s="998"/>
    </row>
    <row r="27" spans="1:14" s="994" customFormat="1" ht="15.6" customHeight="1">
      <c r="F27" s="998"/>
      <c r="H27" s="1040" t="s">
        <v>1107</v>
      </c>
      <c r="I27" s="1040"/>
      <c r="M27" s="998"/>
      <c r="N27" s="998"/>
    </row>
    <row r="28" spans="1:14" ht="12.75" customHeight="1">
      <c r="D28" s="1315"/>
      <c r="E28" s="1315"/>
      <c r="F28" s="1315"/>
      <c r="G28" s="1315"/>
    </row>
  </sheetData>
  <mergeCells count="15">
    <mergeCell ref="D28:G28"/>
    <mergeCell ref="B6:B7"/>
    <mergeCell ref="C6:C7"/>
    <mergeCell ref="D6:G6"/>
    <mergeCell ref="A2:H2"/>
    <mergeCell ref="A3:H3"/>
    <mergeCell ref="A4:H4"/>
    <mergeCell ref="A5:C5"/>
    <mergeCell ref="G5:H5"/>
    <mergeCell ref="H25:I25"/>
    <mergeCell ref="H26:I26"/>
    <mergeCell ref="H27:I27"/>
    <mergeCell ref="H6:H7"/>
    <mergeCell ref="C9:H9"/>
    <mergeCell ref="C17:H17"/>
  </mergeCells>
  <printOptions horizontalCentered="1"/>
  <pageMargins left="0.70866141732283472" right="0.70866141732283472" top="0.63" bottom="0" header="0.79"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N51"/>
  <sheetViews>
    <sheetView view="pageBreakPreview" topLeftCell="A37" zoomScaleSheetLayoutView="100" workbookViewId="0">
      <selection activeCell="E13" sqref="E13"/>
    </sheetView>
  </sheetViews>
  <sheetFormatPr defaultRowHeight="12.75"/>
  <cols>
    <col min="1" max="1" width="8.28515625" customWidth="1"/>
    <col min="2" max="2" width="22.7109375" bestFit="1" customWidth="1"/>
    <col min="3" max="3" width="12.42578125" customWidth="1"/>
    <col min="4" max="4" width="16.7109375" customWidth="1"/>
    <col min="5" max="5" width="17.28515625" customWidth="1"/>
    <col min="6" max="6" width="17" customWidth="1"/>
    <col min="7" max="7" width="23.42578125" customWidth="1"/>
  </cols>
  <sheetData>
    <row r="1" spans="1:7" ht="24.75" customHeight="1">
      <c r="A1" s="1176" t="s">
        <v>0</v>
      </c>
      <c r="B1" s="1176"/>
      <c r="C1" s="1176"/>
      <c r="D1" s="1176"/>
      <c r="E1" s="1176"/>
      <c r="F1" s="1176"/>
      <c r="G1" s="174" t="s">
        <v>683</v>
      </c>
    </row>
    <row r="2" spans="1:7" ht="21">
      <c r="A2" s="1177" t="s">
        <v>636</v>
      </c>
      <c r="B2" s="1177"/>
      <c r="C2" s="1177"/>
      <c r="D2" s="1177"/>
      <c r="E2" s="1177"/>
      <c r="F2" s="1177"/>
      <c r="G2" s="1177"/>
    </row>
    <row r="3" spans="1:7" ht="15">
      <c r="A3" s="176"/>
      <c r="B3" s="176"/>
    </row>
    <row r="4" spans="1:7" ht="18" customHeight="1">
      <c r="A4" s="1178" t="s">
        <v>684</v>
      </c>
      <c r="B4" s="1178"/>
      <c r="C4" s="1178"/>
      <c r="D4" s="1178"/>
      <c r="E4" s="1178"/>
      <c r="F4" s="1178"/>
      <c r="G4" s="1178"/>
    </row>
    <row r="5" spans="1:7" ht="15">
      <c r="A5" s="1332" t="s">
        <v>1064</v>
      </c>
      <c r="B5" s="1332"/>
    </row>
    <row r="6" spans="1:7" ht="15">
      <c r="A6" s="177"/>
      <c r="B6" s="177"/>
      <c r="F6" s="1179" t="s">
        <v>792</v>
      </c>
      <c r="G6" s="1179"/>
    </row>
    <row r="7" spans="1:7" ht="80.25" customHeight="1">
      <c r="A7" s="178" t="s">
        <v>2</v>
      </c>
      <c r="B7" s="774" t="s">
        <v>3</v>
      </c>
      <c r="C7" s="245" t="s">
        <v>685</v>
      </c>
      <c r="D7" s="245" t="s">
        <v>686</v>
      </c>
      <c r="E7" s="245" t="s">
        <v>687</v>
      </c>
      <c r="F7" s="245" t="s">
        <v>688</v>
      </c>
      <c r="G7" s="245" t="s">
        <v>689</v>
      </c>
    </row>
    <row r="8" spans="1:7" s="174" customFormat="1" ht="15">
      <c r="A8" s="179" t="s">
        <v>268</v>
      </c>
      <c r="B8" s="179" t="s">
        <v>269</v>
      </c>
      <c r="C8" s="179" t="s">
        <v>270</v>
      </c>
      <c r="D8" s="179" t="s">
        <v>271</v>
      </c>
      <c r="E8" s="179" t="s">
        <v>272</v>
      </c>
      <c r="F8" s="179" t="s">
        <v>273</v>
      </c>
      <c r="G8" s="179" t="s">
        <v>274</v>
      </c>
    </row>
    <row r="9" spans="1:7" ht="15">
      <c r="A9" s="776">
        <v>1</v>
      </c>
      <c r="B9" s="474" t="s">
        <v>825</v>
      </c>
      <c r="C9" s="399">
        <v>1295</v>
      </c>
      <c r="D9" s="804">
        <f>C9*70/100</f>
        <v>906.5</v>
      </c>
      <c r="E9" s="471">
        <v>82</v>
      </c>
      <c r="F9" s="454">
        <v>0</v>
      </c>
      <c r="G9" s="784">
        <v>250</v>
      </c>
    </row>
    <row r="10" spans="1:7" ht="15">
      <c r="A10" s="776">
        <v>2</v>
      </c>
      <c r="B10" s="474" t="s">
        <v>826</v>
      </c>
      <c r="C10" s="399">
        <v>811</v>
      </c>
      <c r="D10" s="804">
        <f t="shared" ref="D10:D41" si="0">C10*70/100</f>
        <v>567.70000000000005</v>
      </c>
      <c r="E10" s="471">
        <v>12</v>
      </c>
      <c r="F10" s="454">
        <v>0</v>
      </c>
      <c r="G10" s="784">
        <v>150</v>
      </c>
    </row>
    <row r="11" spans="1:7" ht="15">
      <c r="A11" s="776">
        <v>3</v>
      </c>
      <c r="B11" s="474" t="s">
        <v>828</v>
      </c>
      <c r="C11" s="399">
        <v>1101</v>
      </c>
      <c r="D11" s="804">
        <f t="shared" si="0"/>
        <v>770.7</v>
      </c>
      <c r="E11" s="471">
        <v>308</v>
      </c>
      <c r="F11" s="454">
        <v>0</v>
      </c>
      <c r="G11" s="784">
        <v>242</v>
      </c>
    </row>
    <row r="12" spans="1:7" ht="15">
      <c r="A12" s="776">
        <v>4</v>
      </c>
      <c r="B12" s="474" t="s">
        <v>851</v>
      </c>
      <c r="C12" s="399">
        <v>1281</v>
      </c>
      <c r="D12" s="804">
        <f t="shared" si="0"/>
        <v>896.7</v>
      </c>
      <c r="E12" s="471">
        <v>44</v>
      </c>
      <c r="F12" s="454">
        <v>0</v>
      </c>
      <c r="G12" s="784">
        <v>282</v>
      </c>
    </row>
    <row r="13" spans="1:7" ht="15">
      <c r="A13" s="776">
        <v>5</v>
      </c>
      <c r="B13" s="474" t="s">
        <v>829</v>
      </c>
      <c r="C13" s="399">
        <v>2551</v>
      </c>
      <c r="D13" s="804">
        <f t="shared" si="0"/>
        <v>1785.7</v>
      </c>
      <c r="E13" s="471">
        <v>212</v>
      </c>
      <c r="F13" s="454">
        <v>0</v>
      </c>
      <c r="G13" s="784">
        <v>760</v>
      </c>
    </row>
    <row r="14" spans="1:7" ht="15">
      <c r="A14" s="776">
        <v>6</v>
      </c>
      <c r="B14" s="474" t="s">
        <v>830</v>
      </c>
      <c r="C14" s="399">
        <v>990</v>
      </c>
      <c r="D14" s="804">
        <f t="shared" si="0"/>
        <v>693</v>
      </c>
      <c r="E14" s="471">
        <v>24</v>
      </c>
      <c r="F14" s="454">
        <v>0</v>
      </c>
      <c r="G14" s="784">
        <v>218</v>
      </c>
    </row>
    <row r="15" spans="1:7" ht="15">
      <c r="A15" s="776">
        <v>7</v>
      </c>
      <c r="B15" s="474" t="s">
        <v>832</v>
      </c>
      <c r="C15" s="399">
        <v>1051</v>
      </c>
      <c r="D15" s="804">
        <f t="shared" si="0"/>
        <v>735.7</v>
      </c>
      <c r="E15" s="471">
        <v>33</v>
      </c>
      <c r="F15" s="454">
        <v>0</v>
      </c>
      <c r="G15" s="784">
        <v>231</v>
      </c>
    </row>
    <row r="16" spans="1:7" ht="15">
      <c r="A16" s="776">
        <v>8</v>
      </c>
      <c r="B16" s="474" t="s">
        <v>837</v>
      </c>
      <c r="C16" s="399">
        <v>1734</v>
      </c>
      <c r="D16" s="804">
        <f t="shared" si="0"/>
        <v>1213.8</v>
      </c>
      <c r="E16" s="471">
        <v>19</v>
      </c>
      <c r="F16" s="454">
        <v>0</v>
      </c>
      <c r="G16" s="784">
        <v>381</v>
      </c>
    </row>
    <row r="17" spans="1:9" ht="15">
      <c r="A17" s="776">
        <v>9</v>
      </c>
      <c r="B17" s="474" t="s">
        <v>997</v>
      </c>
      <c r="C17" s="399">
        <v>432</v>
      </c>
      <c r="D17" s="804">
        <f t="shared" si="0"/>
        <v>302.39999999999998</v>
      </c>
      <c r="E17" s="471">
        <v>360</v>
      </c>
      <c r="F17" s="454">
        <v>0</v>
      </c>
      <c r="G17" s="784">
        <v>120</v>
      </c>
    </row>
    <row r="18" spans="1:9" ht="15">
      <c r="A18" s="776">
        <v>10</v>
      </c>
      <c r="B18" s="474" t="s">
        <v>835</v>
      </c>
      <c r="C18" s="399">
        <v>629</v>
      </c>
      <c r="D18" s="804">
        <f t="shared" si="0"/>
        <v>440.3</v>
      </c>
      <c r="E18" s="471">
        <v>8</v>
      </c>
      <c r="F18" s="454">
        <v>0</v>
      </c>
      <c r="G18" s="784">
        <v>140</v>
      </c>
    </row>
    <row r="19" spans="1:9" ht="15">
      <c r="A19" s="776">
        <v>11</v>
      </c>
      <c r="B19" s="474" t="s">
        <v>838</v>
      </c>
      <c r="C19" s="399">
        <v>794</v>
      </c>
      <c r="D19" s="804">
        <f t="shared" si="0"/>
        <v>555.79999999999995</v>
      </c>
      <c r="E19" s="471">
        <v>0</v>
      </c>
      <c r="F19" s="454">
        <v>0</v>
      </c>
      <c r="G19" s="784">
        <v>175</v>
      </c>
    </row>
    <row r="20" spans="1:9" ht="15">
      <c r="A20" s="776">
        <v>12</v>
      </c>
      <c r="B20" s="474" t="s">
        <v>839</v>
      </c>
      <c r="C20" s="399">
        <v>824</v>
      </c>
      <c r="D20" s="804">
        <f t="shared" si="0"/>
        <v>576.79999999999995</v>
      </c>
      <c r="E20" s="471">
        <v>4</v>
      </c>
      <c r="F20" s="454">
        <v>0</v>
      </c>
      <c r="G20" s="784">
        <v>190</v>
      </c>
    </row>
    <row r="21" spans="1:9" ht="15">
      <c r="A21" s="776">
        <v>13</v>
      </c>
      <c r="B21" s="474" t="s">
        <v>998</v>
      </c>
      <c r="C21" s="399">
        <v>1449</v>
      </c>
      <c r="D21" s="804">
        <f t="shared" si="0"/>
        <v>1014.3</v>
      </c>
      <c r="E21" s="471">
        <v>109</v>
      </c>
      <c r="F21" s="454">
        <v>0</v>
      </c>
      <c r="G21" s="784">
        <v>319</v>
      </c>
    </row>
    <row r="22" spans="1:9" ht="15" customHeight="1">
      <c r="A22" s="776">
        <v>14</v>
      </c>
      <c r="B22" s="474" t="s">
        <v>999</v>
      </c>
      <c r="C22" s="399">
        <v>1791</v>
      </c>
      <c r="D22" s="804">
        <f t="shared" si="0"/>
        <v>1253.7</v>
      </c>
      <c r="E22" s="471">
        <v>36</v>
      </c>
      <c r="F22" s="454">
        <v>0</v>
      </c>
      <c r="G22" s="784">
        <v>395</v>
      </c>
    </row>
    <row r="23" spans="1:9" ht="15" customHeight="1">
      <c r="A23" s="776">
        <v>15</v>
      </c>
      <c r="B23" s="474" t="s">
        <v>841</v>
      </c>
      <c r="C23" s="399">
        <v>1102</v>
      </c>
      <c r="D23" s="804">
        <f t="shared" si="0"/>
        <v>771.4</v>
      </c>
      <c r="E23" s="471">
        <v>38</v>
      </c>
      <c r="F23" s="454">
        <v>0</v>
      </c>
      <c r="G23" s="784">
        <v>242</v>
      </c>
    </row>
    <row r="24" spans="1:9" ht="15" customHeight="1">
      <c r="A24" s="776">
        <v>16</v>
      </c>
      <c r="B24" s="474" t="s">
        <v>1000</v>
      </c>
      <c r="C24" s="399">
        <v>700</v>
      </c>
      <c r="D24" s="804">
        <f t="shared" si="0"/>
        <v>490</v>
      </c>
      <c r="E24" s="471">
        <v>55</v>
      </c>
      <c r="F24" s="454">
        <v>0</v>
      </c>
      <c r="G24" s="784">
        <v>231</v>
      </c>
    </row>
    <row r="25" spans="1:9" ht="15">
      <c r="A25" s="776">
        <v>17</v>
      </c>
      <c r="B25" s="474" t="s">
        <v>849</v>
      </c>
      <c r="C25" s="399">
        <v>771</v>
      </c>
      <c r="D25" s="804">
        <f t="shared" si="0"/>
        <v>539.70000000000005</v>
      </c>
      <c r="E25" s="471">
        <v>171</v>
      </c>
      <c r="F25" s="454">
        <v>0</v>
      </c>
      <c r="G25" s="784">
        <v>170</v>
      </c>
    </row>
    <row r="26" spans="1:9" ht="15">
      <c r="A26" s="776">
        <v>18</v>
      </c>
      <c r="B26" s="474" t="s">
        <v>1001</v>
      </c>
      <c r="C26" s="399">
        <v>1459</v>
      </c>
      <c r="D26" s="804">
        <f t="shared" si="0"/>
        <v>1021.3</v>
      </c>
      <c r="E26" s="471">
        <v>65</v>
      </c>
      <c r="F26" s="454">
        <v>0</v>
      </c>
      <c r="G26" s="784">
        <v>321</v>
      </c>
      <c r="H26" s="246"/>
      <c r="I26" s="246"/>
    </row>
    <row r="27" spans="1:9" ht="15">
      <c r="A27" s="776">
        <v>19</v>
      </c>
      <c r="B27" s="474" t="s">
        <v>842</v>
      </c>
      <c r="C27" s="399">
        <v>855</v>
      </c>
      <c r="D27" s="804">
        <f t="shared" si="0"/>
        <v>598.5</v>
      </c>
      <c r="E27" s="471">
        <v>42</v>
      </c>
      <c r="F27" s="454">
        <v>0</v>
      </c>
      <c r="G27" s="784">
        <v>188</v>
      </c>
    </row>
    <row r="28" spans="1:9" ht="15">
      <c r="A28" s="776">
        <v>20</v>
      </c>
      <c r="B28" s="474" t="s">
        <v>840</v>
      </c>
      <c r="C28" s="399">
        <v>335</v>
      </c>
      <c r="D28" s="804">
        <f t="shared" si="0"/>
        <v>234.5</v>
      </c>
      <c r="E28" s="471">
        <v>16</v>
      </c>
      <c r="F28" s="454">
        <v>0</v>
      </c>
      <c r="G28" s="784">
        <v>75</v>
      </c>
    </row>
    <row r="29" spans="1:9" ht="15">
      <c r="A29" s="776">
        <v>21</v>
      </c>
      <c r="B29" s="474" t="s">
        <v>843</v>
      </c>
      <c r="C29" s="399">
        <v>1037</v>
      </c>
      <c r="D29" s="804">
        <f t="shared" si="0"/>
        <v>725.9</v>
      </c>
      <c r="E29" s="471">
        <v>12</v>
      </c>
      <c r="F29" s="454">
        <v>0</v>
      </c>
      <c r="G29" s="784">
        <v>228</v>
      </c>
    </row>
    <row r="30" spans="1:9" ht="15">
      <c r="A30" s="776">
        <v>22</v>
      </c>
      <c r="B30" s="474" t="s">
        <v>844</v>
      </c>
      <c r="C30" s="399">
        <v>1317</v>
      </c>
      <c r="D30" s="804">
        <f t="shared" si="0"/>
        <v>921.9</v>
      </c>
      <c r="E30" s="471">
        <v>516</v>
      </c>
      <c r="F30" s="454">
        <v>0</v>
      </c>
      <c r="G30" s="784">
        <v>290</v>
      </c>
    </row>
    <row r="31" spans="1:9" ht="15">
      <c r="A31" s="776">
        <v>23</v>
      </c>
      <c r="B31" s="474" t="s">
        <v>845</v>
      </c>
      <c r="C31" s="399">
        <v>1372</v>
      </c>
      <c r="D31" s="804">
        <f t="shared" si="0"/>
        <v>960.4</v>
      </c>
      <c r="E31" s="471">
        <f>116+12</f>
        <v>128</v>
      </c>
      <c r="F31" s="454">
        <v>0</v>
      </c>
      <c r="G31" s="784">
        <v>300</v>
      </c>
    </row>
    <row r="32" spans="1:9" ht="15">
      <c r="A32" s="776">
        <v>24</v>
      </c>
      <c r="B32" s="474" t="s">
        <v>846</v>
      </c>
      <c r="C32" s="399">
        <v>910</v>
      </c>
      <c r="D32" s="804">
        <f t="shared" si="0"/>
        <v>637</v>
      </c>
      <c r="E32" s="471">
        <v>29</v>
      </c>
      <c r="F32" s="454">
        <v>0</v>
      </c>
      <c r="G32" s="784">
        <v>200</v>
      </c>
    </row>
    <row r="33" spans="1:14" ht="15">
      <c r="A33" s="776">
        <v>25</v>
      </c>
      <c r="B33" s="474" t="s">
        <v>850</v>
      </c>
      <c r="C33" s="399">
        <v>819</v>
      </c>
      <c r="D33" s="804">
        <f t="shared" si="0"/>
        <v>573.29999999999995</v>
      </c>
      <c r="E33" s="471">
        <v>184</v>
      </c>
      <c r="F33" s="454">
        <v>0</v>
      </c>
      <c r="G33" s="784">
        <v>210</v>
      </c>
    </row>
    <row r="34" spans="1:14" ht="15">
      <c r="A34" s="776">
        <v>26</v>
      </c>
      <c r="B34" s="474" t="s">
        <v>847</v>
      </c>
      <c r="C34" s="399">
        <v>1244</v>
      </c>
      <c r="D34" s="804">
        <f t="shared" si="0"/>
        <v>870.8</v>
      </c>
      <c r="E34" s="471">
        <f>24+12</f>
        <v>36</v>
      </c>
      <c r="F34" s="454">
        <v>0</v>
      </c>
      <c r="G34" s="784">
        <v>275</v>
      </c>
    </row>
    <row r="35" spans="1:14" ht="15">
      <c r="A35" s="776">
        <v>27</v>
      </c>
      <c r="B35" s="474" t="s">
        <v>848</v>
      </c>
      <c r="C35" s="399">
        <v>1008</v>
      </c>
      <c r="D35" s="804">
        <f t="shared" si="0"/>
        <v>705.6</v>
      </c>
      <c r="E35" s="471">
        <v>2</v>
      </c>
      <c r="F35" s="454">
        <v>0</v>
      </c>
      <c r="G35" s="784">
        <v>354</v>
      </c>
    </row>
    <row r="36" spans="1:14" ht="15">
      <c r="A36" s="776">
        <v>28</v>
      </c>
      <c r="B36" s="474" t="s">
        <v>852</v>
      </c>
      <c r="C36" s="399">
        <v>261</v>
      </c>
      <c r="D36" s="804">
        <f t="shared" si="0"/>
        <v>182.7</v>
      </c>
      <c r="E36" s="471">
        <v>32</v>
      </c>
      <c r="F36" s="454">
        <v>0</v>
      </c>
      <c r="G36" s="784">
        <v>58</v>
      </c>
    </row>
    <row r="37" spans="1:14" ht="15">
      <c r="A37" s="776">
        <v>29</v>
      </c>
      <c r="B37" s="474" t="s">
        <v>853</v>
      </c>
      <c r="C37" s="399">
        <v>1293</v>
      </c>
      <c r="D37" s="804">
        <f t="shared" si="0"/>
        <v>905.1</v>
      </c>
      <c r="E37" s="471">
        <v>44</v>
      </c>
      <c r="F37" s="454">
        <v>0</v>
      </c>
      <c r="G37" s="784">
        <v>285</v>
      </c>
    </row>
    <row r="38" spans="1:14" ht="15">
      <c r="A38" s="776">
        <v>30</v>
      </c>
      <c r="B38" s="474" t="s">
        <v>854</v>
      </c>
      <c r="C38" s="399">
        <v>661</v>
      </c>
      <c r="D38" s="804">
        <f t="shared" si="0"/>
        <v>462.7</v>
      </c>
      <c r="E38" s="471">
        <v>0</v>
      </c>
      <c r="F38" s="454">
        <v>0</v>
      </c>
      <c r="G38" s="784">
        <v>145</v>
      </c>
    </row>
    <row r="39" spans="1:14" ht="15">
      <c r="A39" s="776">
        <v>31</v>
      </c>
      <c r="B39" s="474" t="s">
        <v>855</v>
      </c>
      <c r="C39" s="399">
        <v>594</v>
      </c>
      <c r="D39" s="804">
        <f t="shared" si="0"/>
        <v>415.8</v>
      </c>
      <c r="E39" s="471">
        <v>47</v>
      </c>
      <c r="F39" s="454">
        <v>0</v>
      </c>
      <c r="G39" s="784">
        <v>131</v>
      </c>
    </row>
    <row r="40" spans="1:14" ht="15">
      <c r="A40" s="776">
        <v>32</v>
      </c>
      <c r="B40" s="474" t="s">
        <v>856</v>
      </c>
      <c r="C40" s="399">
        <v>1241</v>
      </c>
      <c r="D40" s="804">
        <f t="shared" si="0"/>
        <v>868.7</v>
      </c>
      <c r="E40" s="471">
        <v>18</v>
      </c>
      <c r="F40" s="454">
        <v>0</v>
      </c>
      <c r="G40" s="784">
        <v>273</v>
      </c>
    </row>
    <row r="41" spans="1:14" ht="15">
      <c r="A41" s="776">
        <v>33</v>
      </c>
      <c r="B41" s="502" t="s">
        <v>857</v>
      </c>
      <c r="C41" s="399">
        <v>595</v>
      </c>
      <c r="D41" s="804">
        <f t="shared" si="0"/>
        <v>416.5</v>
      </c>
      <c r="E41" s="503">
        <v>8</v>
      </c>
      <c r="F41" s="454">
        <v>0</v>
      </c>
      <c r="G41" s="784">
        <v>131</v>
      </c>
    </row>
    <row r="42" spans="1:14" ht="15.75">
      <c r="A42" s="1330" t="s">
        <v>18</v>
      </c>
      <c r="B42" s="1331"/>
      <c r="C42" s="504">
        <f>SUM(C9:C41)</f>
        <v>34307</v>
      </c>
      <c r="D42" s="504">
        <f>SUM(D9:D41)</f>
        <v>24014.899999999998</v>
      </c>
      <c r="E42" s="504">
        <f>SUM(E9:E41)</f>
        <v>2694</v>
      </c>
      <c r="F42" s="504">
        <f t="shared" ref="F42" si="1">SUM(F9:F41)</f>
        <v>0</v>
      </c>
      <c r="G42" s="504">
        <f>SUM(G9:G41)</f>
        <v>7960</v>
      </c>
    </row>
    <row r="43" spans="1:14" ht="15.75">
      <c r="A43" s="999"/>
      <c r="B43" s="999"/>
      <c r="C43" s="999"/>
      <c r="D43" s="999"/>
      <c r="E43" s="999"/>
      <c r="F43" s="999"/>
      <c r="G43" s="999"/>
    </row>
    <row r="44" spans="1:14">
      <c r="A44" s="13"/>
      <c r="B44" s="13"/>
      <c r="C44" s="13"/>
      <c r="D44" s="13"/>
      <c r="E44" s="13"/>
      <c r="F44" s="13"/>
      <c r="G44" s="13"/>
    </row>
    <row r="45" spans="1:14" s="994" customFormat="1" ht="15.75" customHeight="1">
      <c r="A45" s="15" t="s">
        <v>12</v>
      </c>
      <c r="B45" s="15"/>
      <c r="C45" s="15"/>
      <c r="F45" s="1040" t="s">
        <v>1106</v>
      </c>
      <c r="G45" s="1040"/>
      <c r="J45" s="992"/>
    </row>
    <row r="46" spans="1:14" s="994" customFormat="1" ht="15.6" customHeight="1">
      <c r="F46" s="1040" t="s">
        <v>481</v>
      </c>
      <c r="G46" s="1040"/>
      <c r="M46" s="998"/>
      <c r="N46" s="998"/>
    </row>
    <row r="47" spans="1:14" s="994" customFormat="1" ht="15.6" customHeight="1">
      <c r="F47" s="1040" t="s">
        <v>1107</v>
      </c>
      <c r="G47" s="1040"/>
      <c r="M47" s="998"/>
      <c r="N47" s="998"/>
    </row>
    <row r="48" spans="1:14" s="181" customFormat="1" ht="12.75" customHeight="1">
      <c r="D48" s="13"/>
      <c r="E48" s="13"/>
      <c r="F48" s="993"/>
      <c r="G48" s="993"/>
    </row>
    <row r="49" spans="1:7">
      <c r="A49" s="13"/>
      <c r="B49" s="13"/>
      <c r="C49" s="13"/>
      <c r="D49" s="13"/>
      <c r="E49" s="13"/>
      <c r="F49" s="993"/>
      <c r="G49" s="993"/>
    </row>
    <row r="50" spans="1:7">
      <c r="A50" s="13"/>
      <c r="B50" s="13"/>
      <c r="C50" s="13"/>
      <c r="D50" s="13"/>
      <c r="E50" s="13"/>
      <c r="F50" s="993"/>
      <c r="G50" s="993"/>
    </row>
    <row r="51" spans="1:7">
      <c r="A51" s="13"/>
      <c r="B51" s="13"/>
      <c r="C51" s="13"/>
      <c r="D51" s="13"/>
      <c r="E51" s="13"/>
      <c r="F51" s="993"/>
      <c r="G51" s="993"/>
    </row>
  </sheetData>
  <mergeCells count="9">
    <mergeCell ref="F45:G45"/>
    <mergeCell ref="F46:G46"/>
    <mergeCell ref="F47:G47"/>
    <mergeCell ref="A42:B42"/>
    <mergeCell ref="A1:F1"/>
    <mergeCell ref="A2:G2"/>
    <mergeCell ref="A4:G4"/>
    <mergeCell ref="F6:G6"/>
    <mergeCell ref="A5:B5"/>
  </mergeCells>
  <printOptions horizontalCentered="1"/>
  <pageMargins left="0.70866141732283472" right="0.70866141732283472" top="0.63" bottom="0" header="0.79" footer="0.31496062992125984"/>
  <pageSetup paperSize="9" scale="68" orientation="landscape" r:id="rId1"/>
</worksheet>
</file>

<file path=xl/worksheets/sheet34.xml><?xml version="1.0" encoding="utf-8"?>
<worksheet xmlns="http://schemas.openxmlformats.org/spreadsheetml/2006/main" xmlns:r="http://schemas.openxmlformats.org/officeDocument/2006/relationships">
  <sheetPr>
    <pageSetUpPr fitToPage="1"/>
  </sheetPr>
  <dimension ref="A1:O50"/>
  <sheetViews>
    <sheetView view="pageBreakPreview" topLeftCell="A37" zoomScaleSheetLayoutView="100" workbookViewId="0">
      <selection activeCell="E13" sqref="E13"/>
    </sheetView>
  </sheetViews>
  <sheetFormatPr defaultColWidth="9.140625" defaultRowHeight="12.75"/>
  <cols>
    <col min="1" max="1" width="9.140625" style="437"/>
    <col min="2" max="2" width="16.28515625" style="437" customWidth="1"/>
    <col min="3" max="3" width="14.140625" style="437" customWidth="1"/>
    <col min="4" max="4" width="12.5703125" style="437" customWidth="1"/>
    <col min="5" max="5" width="13.7109375" style="437" customWidth="1"/>
    <col min="6" max="6" width="15.42578125" style="437" customWidth="1"/>
    <col min="7" max="8" width="9.140625" style="437"/>
    <col min="9" max="9" width="10.28515625" style="437" customWidth="1"/>
    <col min="10" max="14" width="9.140625" style="437"/>
    <col min="15" max="15" width="33.42578125" style="437" customWidth="1"/>
    <col min="16" max="16384" width="9.140625" style="437"/>
  </cols>
  <sheetData>
    <row r="1" spans="1:15" ht="18">
      <c r="A1" s="1343" t="s">
        <v>0</v>
      </c>
      <c r="B1" s="1343"/>
      <c r="C1" s="1343"/>
      <c r="D1" s="1343"/>
      <c r="E1" s="1343"/>
      <c r="F1" s="1343"/>
      <c r="G1" s="1343"/>
      <c r="H1" s="1343"/>
      <c r="I1" s="1343"/>
      <c r="J1" s="1343"/>
      <c r="K1" s="1343"/>
      <c r="L1" s="1343"/>
      <c r="M1" s="1343"/>
      <c r="N1" s="1342" t="s">
        <v>805</v>
      </c>
      <c r="O1" s="1342"/>
    </row>
    <row r="2" spans="1:15" ht="21">
      <c r="A2" s="1344" t="s">
        <v>636</v>
      </c>
      <c r="B2" s="1344"/>
      <c r="C2" s="1344"/>
      <c r="D2" s="1344"/>
      <c r="E2" s="1344"/>
      <c r="F2" s="1344"/>
      <c r="G2" s="1344"/>
      <c r="H2" s="1344"/>
      <c r="I2" s="1344"/>
      <c r="J2" s="1344"/>
      <c r="K2" s="1344"/>
      <c r="L2" s="1344"/>
      <c r="M2" s="1344"/>
      <c r="N2" s="1344"/>
      <c r="O2" s="610"/>
    </row>
    <row r="3" spans="1:15" ht="15">
      <c r="A3" s="611"/>
      <c r="B3" s="611"/>
      <c r="C3" s="610"/>
      <c r="D3" s="610"/>
      <c r="E3" s="610"/>
      <c r="F3" s="610"/>
      <c r="G3" s="610"/>
      <c r="H3" s="610"/>
      <c r="I3" s="610"/>
      <c r="J3" s="610"/>
      <c r="K3" s="610"/>
      <c r="L3" s="610"/>
      <c r="M3" s="610"/>
      <c r="N3" s="610"/>
      <c r="O3" s="610"/>
    </row>
    <row r="4" spans="1:15" ht="18">
      <c r="A4" s="1345" t="s">
        <v>823</v>
      </c>
      <c r="B4" s="1345"/>
      <c r="C4" s="1345"/>
      <c r="D4" s="1345"/>
      <c r="E4" s="1345"/>
      <c r="F4" s="1345"/>
      <c r="G4" s="1345"/>
      <c r="H4" s="1345"/>
      <c r="I4" s="1345"/>
      <c r="J4" s="1345"/>
      <c r="K4" s="1345"/>
      <c r="L4" s="1345"/>
      <c r="M4" s="1345"/>
      <c r="N4" s="1345"/>
      <c r="O4" s="610"/>
    </row>
    <row r="5" spans="1:15" ht="15">
      <c r="A5" s="612" t="s">
        <v>905</v>
      </c>
      <c r="B5" s="612"/>
      <c r="C5" s="610"/>
      <c r="D5" s="610"/>
      <c r="E5" s="610"/>
      <c r="F5" s="610"/>
      <c r="G5" s="610"/>
      <c r="H5" s="610"/>
      <c r="I5" s="610"/>
      <c r="J5" s="610"/>
      <c r="K5" s="610"/>
      <c r="L5" s="610"/>
      <c r="M5" s="610"/>
      <c r="N5" s="610"/>
      <c r="O5" s="610"/>
    </row>
    <row r="6" spans="1:15" ht="15">
      <c r="A6" s="612"/>
      <c r="B6" s="612"/>
      <c r="C6" s="610"/>
      <c r="D6" s="610"/>
      <c r="E6" s="610"/>
      <c r="F6" s="610"/>
      <c r="G6" s="610"/>
      <c r="H6" s="610"/>
      <c r="I6" s="610"/>
      <c r="J6" s="610"/>
      <c r="K6" s="610"/>
      <c r="L6" s="610"/>
      <c r="M6" s="1341" t="s">
        <v>792</v>
      </c>
      <c r="N6" s="1341"/>
      <c r="O6" s="1341"/>
    </row>
    <row r="7" spans="1:15">
      <c r="A7" s="1337" t="s">
        <v>2</v>
      </c>
      <c r="B7" s="1337" t="s">
        <v>3</v>
      </c>
      <c r="C7" s="1334" t="s">
        <v>806</v>
      </c>
      <c r="D7" s="1333" t="s">
        <v>807</v>
      </c>
      <c r="E7" s="1333" t="s">
        <v>808</v>
      </c>
      <c r="F7" s="1333" t="s">
        <v>809</v>
      </c>
      <c r="G7" s="1333" t="s">
        <v>810</v>
      </c>
      <c r="H7" s="1333"/>
      <c r="I7" s="1333"/>
      <c r="J7" s="1333"/>
      <c r="K7" s="1333"/>
      <c r="L7" s="1333" t="s">
        <v>811</v>
      </c>
      <c r="M7" s="1333" t="s">
        <v>812</v>
      </c>
      <c r="N7" s="1333"/>
      <c r="O7" s="1333"/>
    </row>
    <row r="8" spans="1:15" ht="21.75" customHeight="1">
      <c r="A8" s="1338"/>
      <c r="B8" s="1338"/>
      <c r="C8" s="1340"/>
      <c r="D8" s="1333"/>
      <c r="E8" s="1333"/>
      <c r="F8" s="1333"/>
      <c r="G8" s="1333" t="s">
        <v>813</v>
      </c>
      <c r="H8" s="1333"/>
      <c r="I8" s="1333" t="s">
        <v>814</v>
      </c>
      <c r="J8" s="1333" t="s">
        <v>815</v>
      </c>
      <c r="K8" s="1333" t="s">
        <v>816</v>
      </c>
      <c r="L8" s="1333"/>
      <c r="M8" s="1333" t="s">
        <v>92</v>
      </c>
      <c r="N8" s="1333" t="s">
        <v>817</v>
      </c>
      <c r="O8" s="1333" t="s">
        <v>818</v>
      </c>
    </row>
    <row r="9" spans="1:15" ht="30" customHeight="1">
      <c r="A9" s="1339"/>
      <c r="B9" s="1339"/>
      <c r="C9" s="1340"/>
      <c r="D9" s="1334"/>
      <c r="E9" s="1334"/>
      <c r="F9" s="1334"/>
      <c r="G9" s="613" t="s">
        <v>819</v>
      </c>
      <c r="H9" s="613" t="s">
        <v>820</v>
      </c>
      <c r="I9" s="1334"/>
      <c r="J9" s="1334"/>
      <c r="K9" s="1334"/>
      <c r="L9" s="1334"/>
      <c r="M9" s="1334"/>
      <c r="N9" s="1334"/>
      <c r="O9" s="1334"/>
    </row>
    <row r="10" spans="1:15">
      <c r="A10" s="614">
        <v>1</v>
      </c>
      <c r="B10" s="615" t="s">
        <v>825</v>
      </c>
      <c r="C10" s="616">
        <v>1295</v>
      </c>
      <c r="D10" s="616">
        <v>1295</v>
      </c>
      <c r="E10" s="616">
        <v>1295</v>
      </c>
      <c r="F10" s="616">
        <v>1093</v>
      </c>
      <c r="G10" s="616">
        <v>742</v>
      </c>
      <c r="H10" s="616">
        <v>0</v>
      </c>
      <c r="I10" s="616">
        <v>351</v>
      </c>
      <c r="J10" s="616">
        <v>0</v>
      </c>
      <c r="K10" s="616">
        <v>0</v>
      </c>
      <c r="L10" s="616" t="s">
        <v>932</v>
      </c>
      <c r="M10" s="617" t="s">
        <v>7</v>
      </c>
      <c r="N10" s="617" t="s">
        <v>7</v>
      </c>
      <c r="O10" s="616" t="s">
        <v>1054</v>
      </c>
    </row>
    <row r="11" spans="1:15">
      <c r="A11" s="614">
        <v>2</v>
      </c>
      <c r="B11" s="615" t="s">
        <v>826</v>
      </c>
      <c r="C11" s="616">
        <v>811</v>
      </c>
      <c r="D11" s="616">
        <v>811</v>
      </c>
      <c r="E11" s="616">
        <v>811</v>
      </c>
      <c r="F11" s="616">
        <v>911</v>
      </c>
      <c r="G11" s="616">
        <v>501</v>
      </c>
      <c r="H11" s="616">
        <v>0</v>
      </c>
      <c r="I11" s="616">
        <v>410</v>
      </c>
      <c r="J11" s="616">
        <v>0</v>
      </c>
      <c r="K11" s="616">
        <v>0</v>
      </c>
      <c r="L11" s="616" t="s">
        <v>932</v>
      </c>
      <c r="M11" s="617" t="s">
        <v>7</v>
      </c>
      <c r="N11" s="617" t="s">
        <v>7</v>
      </c>
      <c r="O11" s="616" t="s">
        <v>1054</v>
      </c>
    </row>
    <row r="12" spans="1:15">
      <c r="A12" s="614">
        <v>3</v>
      </c>
      <c r="B12" s="615" t="s">
        <v>828</v>
      </c>
      <c r="C12" s="616">
        <v>1449</v>
      </c>
      <c r="D12" s="616">
        <v>1449</v>
      </c>
      <c r="E12" s="616">
        <v>1449</v>
      </c>
      <c r="F12" s="616">
        <v>778</v>
      </c>
      <c r="G12" s="616">
        <v>286</v>
      </c>
      <c r="H12" s="616">
        <v>0</v>
      </c>
      <c r="I12" s="616">
        <v>492</v>
      </c>
      <c r="J12" s="616">
        <v>0</v>
      </c>
      <c r="K12" s="616">
        <v>0</v>
      </c>
      <c r="L12" s="616" t="s">
        <v>932</v>
      </c>
      <c r="M12" s="617" t="s">
        <v>7</v>
      </c>
      <c r="N12" s="617" t="s">
        <v>7</v>
      </c>
      <c r="O12" s="616" t="s">
        <v>1054</v>
      </c>
    </row>
    <row r="13" spans="1:15">
      <c r="A13" s="614">
        <v>4</v>
      </c>
      <c r="B13" s="615" t="s">
        <v>851</v>
      </c>
      <c r="C13" s="616">
        <v>1101</v>
      </c>
      <c r="D13" s="616">
        <v>1101</v>
      </c>
      <c r="E13" s="616">
        <v>1101</v>
      </c>
      <c r="F13" s="616">
        <v>890</v>
      </c>
      <c r="G13" s="616">
        <v>345</v>
      </c>
      <c r="H13" s="616">
        <v>0</v>
      </c>
      <c r="I13" s="616">
        <v>545</v>
      </c>
      <c r="J13" s="616">
        <v>0</v>
      </c>
      <c r="K13" s="616">
        <v>0</v>
      </c>
      <c r="L13" s="616" t="s">
        <v>932</v>
      </c>
      <c r="M13" s="617" t="s">
        <v>7</v>
      </c>
      <c r="N13" s="617" t="s">
        <v>7</v>
      </c>
      <c r="O13" s="616" t="s">
        <v>1054</v>
      </c>
    </row>
    <row r="14" spans="1:15">
      <c r="A14" s="614">
        <v>5</v>
      </c>
      <c r="B14" s="615" t="s">
        <v>829</v>
      </c>
      <c r="C14" s="616">
        <v>2551</v>
      </c>
      <c r="D14" s="616">
        <v>2551</v>
      </c>
      <c r="E14" s="616">
        <v>2551</v>
      </c>
      <c r="F14" s="616">
        <v>1168</v>
      </c>
      <c r="G14" s="616">
        <v>777</v>
      </c>
      <c r="H14" s="616">
        <v>0</v>
      </c>
      <c r="I14" s="616">
        <v>391</v>
      </c>
      <c r="J14" s="616">
        <v>0</v>
      </c>
      <c r="K14" s="616">
        <v>0</v>
      </c>
      <c r="L14" s="616" t="s">
        <v>932</v>
      </c>
      <c r="M14" s="617" t="s">
        <v>7</v>
      </c>
      <c r="N14" s="617" t="s">
        <v>7</v>
      </c>
      <c r="O14" s="616" t="s">
        <v>1054</v>
      </c>
    </row>
    <row r="15" spans="1:15">
      <c r="A15" s="614">
        <v>6</v>
      </c>
      <c r="B15" s="615" t="s">
        <v>830</v>
      </c>
      <c r="C15" s="616">
        <v>990</v>
      </c>
      <c r="D15" s="616">
        <v>990</v>
      </c>
      <c r="E15" s="616">
        <v>990</v>
      </c>
      <c r="F15" s="616">
        <v>716</v>
      </c>
      <c r="G15" s="616">
        <v>162</v>
      </c>
      <c r="H15" s="616">
        <v>0</v>
      </c>
      <c r="I15" s="616">
        <v>554</v>
      </c>
      <c r="J15" s="616">
        <v>0</v>
      </c>
      <c r="K15" s="616">
        <v>0</v>
      </c>
      <c r="L15" s="616" t="s">
        <v>932</v>
      </c>
      <c r="M15" s="617" t="s">
        <v>7</v>
      </c>
      <c r="N15" s="617" t="s">
        <v>7</v>
      </c>
      <c r="O15" s="616" t="s">
        <v>1054</v>
      </c>
    </row>
    <row r="16" spans="1:15">
      <c r="A16" s="614">
        <v>7</v>
      </c>
      <c r="B16" s="615" t="s">
        <v>832</v>
      </c>
      <c r="C16" s="616">
        <v>700</v>
      </c>
      <c r="D16" s="616">
        <v>700</v>
      </c>
      <c r="E16" s="616">
        <v>700</v>
      </c>
      <c r="F16" s="616">
        <v>993</v>
      </c>
      <c r="G16" s="616">
        <v>348</v>
      </c>
      <c r="H16" s="616">
        <v>0</v>
      </c>
      <c r="I16" s="616">
        <v>645</v>
      </c>
      <c r="J16" s="616">
        <v>0</v>
      </c>
      <c r="K16" s="616">
        <v>0</v>
      </c>
      <c r="L16" s="616" t="s">
        <v>932</v>
      </c>
      <c r="M16" s="617" t="s">
        <v>7</v>
      </c>
      <c r="N16" s="617" t="s">
        <v>7</v>
      </c>
      <c r="O16" s="616" t="s">
        <v>1054</v>
      </c>
    </row>
    <row r="17" spans="1:15">
      <c r="A17" s="614">
        <v>8</v>
      </c>
      <c r="B17" s="615" t="s">
        <v>852</v>
      </c>
      <c r="C17" s="616">
        <v>1051</v>
      </c>
      <c r="D17" s="616">
        <v>1051</v>
      </c>
      <c r="E17" s="616">
        <v>1051</v>
      </c>
      <c r="F17" s="616">
        <v>283</v>
      </c>
      <c r="G17" s="616">
        <v>152</v>
      </c>
      <c r="H17" s="616">
        <v>0</v>
      </c>
      <c r="I17" s="616">
        <v>131</v>
      </c>
      <c r="J17" s="616">
        <v>0</v>
      </c>
      <c r="K17" s="616">
        <v>0</v>
      </c>
      <c r="L17" s="616" t="s">
        <v>932</v>
      </c>
      <c r="M17" s="617" t="s">
        <v>7</v>
      </c>
      <c r="N17" s="617" t="s">
        <v>7</v>
      </c>
      <c r="O17" s="616" t="s">
        <v>1054</v>
      </c>
    </row>
    <row r="18" spans="1:15">
      <c r="A18" s="614">
        <v>9</v>
      </c>
      <c r="B18" s="615" t="s">
        <v>853</v>
      </c>
      <c r="C18" s="616">
        <v>1791</v>
      </c>
      <c r="D18" s="616">
        <v>1791</v>
      </c>
      <c r="E18" s="616">
        <v>1791</v>
      </c>
      <c r="F18" s="616">
        <v>214</v>
      </c>
      <c r="G18" s="616">
        <v>170</v>
      </c>
      <c r="H18" s="616">
        <v>0</v>
      </c>
      <c r="I18" s="616">
        <v>44</v>
      </c>
      <c r="J18" s="616">
        <v>0</v>
      </c>
      <c r="K18" s="616">
        <v>0</v>
      </c>
      <c r="L18" s="616" t="s">
        <v>932</v>
      </c>
      <c r="M18" s="617" t="s">
        <v>7</v>
      </c>
      <c r="N18" s="617" t="s">
        <v>7</v>
      </c>
      <c r="O18" s="616" t="s">
        <v>1054</v>
      </c>
    </row>
    <row r="19" spans="1:15">
      <c r="A19" s="614">
        <v>10</v>
      </c>
      <c r="B19" s="615" t="s">
        <v>837</v>
      </c>
      <c r="C19" s="616">
        <v>432</v>
      </c>
      <c r="D19" s="616">
        <v>432</v>
      </c>
      <c r="E19" s="616">
        <v>432</v>
      </c>
      <c r="F19" s="616">
        <v>280</v>
      </c>
      <c r="G19" s="616">
        <v>205</v>
      </c>
      <c r="H19" s="616">
        <v>0</v>
      </c>
      <c r="I19" s="616">
        <v>75</v>
      </c>
      <c r="J19" s="616">
        <v>0</v>
      </c>
      <c r="K19" s="616">
        <v>0</v>
      </c>
      <c r="L19" s="616" t="s">
        <v>932</v>
      </c>
      <c r="M19" s="617" t="s">
        <v>7</v>
      </c>
      <c r="N19" s="617" t="s">
        <v>7</v>
      </c>
      <c r="O19" s="616" t="s">
        <v>1054</v>
      </c>
    </row>
    <row r="20" spans="1:15">
      <c r="A20" s="614">
        <v>11</v>
      </c>
      <c r="B20" s="615" t="s">
        <v>834</v>
      </c>
      <c r="C20" s="616">
        <v>629</v>
      </c>
      <c r="D20" s="616">
        <v>629</v>
      </c>
      <c r="E20" s="616">
        <v>629</v>
      </c>
      <c r="F20" s="616">
        <v>465</v>
      </c>
      <c r="G20" s="616">
        <v>411</v>
      </c>
      <c r="H20" s="616">
        <v>0</v>
      </c>
      <c r="I20" s="616">
        <v>54</v>
      </c>
      <c r="J20" s="616">
        <v>0</v>
      </c>
      <c r="K20" s="616">
        <v>0</v>
      </c>
      <c r="L20" s="616" t="s">
        <v>932</v>
      </c>
      <c r="M20" s="617" t="s">
        <v>7</v>
      </c>
      <c r="N20" s="617" t="s">
        <v>7</v>
      </c>
      <c r="O20" s="616" t="s">
        <v>1054</v>
      </c>
    </row>
    <row r="21" spans="1:15">
      <c r="A21" s="614">
        <v>12</v>
      </c>
      <c r="B21" s="615" t="s">
        <v>854</v>
      </c>
      <c r="C21" s="616">
        <v>1459</v>
      </c>
      <c r="D21" s="616">
        <v>1459</v>
      </c>
      <c r="E21" s="616">
        <v>1459</v>
      </c>
      <c r="F21" s="616">
        <v>662</v>
      </c>
      <c r="G21" s="616">
        <v>91</v>
      </c>
      <c r="H21" s="616">
        <v>0</v>
      </c>
      <c r="I21" s="616">
        <v>571</v>
      </c>
      <c r="J21" s="616">
        <v>0</v>
      </c>
      <c r="K21" s="616">
        <v>0</v>
      </c>
      <c r="L21" s="616" t="s">
        <v>932</v>
      </c>
      <c r="M21" s="617" t="s">
        <v>7</v>
      </c>
      <c r="N21" s="617" t="s">
        <v>7</v>
      </c>
      <c r="O21" s="616" t="s">
        <v>1054</v>
      </c>
    </row>
    <row r="22" spans="1:15">
      <c r="A22" s="614">
        <v>13</v>
      </c>
      <c r="B22" s="615" t="s">
        <v>835</v>
      </c>
      <c r="C22" s="616">
        <v>1734</v>
      </c>
      <c r="D22" s="616">
        <v>1734</v>
      </c>
      <c r="E22" s="616">
        <v>1734</v>
      </c>
      <c r="F22" s="616">
        <v>575</v>
      </c>
      <c r="G22" s="616">
        <v>438</v>
      </c>
      <c r="H22" s="616">
        <v>0</v>
      </c>
      <c r="I22" s="616">
        <v>137</v>
      </c>
      <c r="J22" s="616">
        <v>0</v>
      </c>
      <c r="K22" s="616">
        <v>0</v>
      </c>
      <c r="L22" s="616" t="s">
        <v>932</v>
      </c>
      <c r="M22" s="617" t="s">
        <v>7</v>
      </c>
      <c r="N22" s="617" t="s">
        <v>7</v>
      </c>
      <c r="O22" s="616" t="s">
        <v>1054</v>
      </c>
    </row>
    <row r="23" spans="1:15">
      <c r="A23" s="614">
        <v>14</v>
      </c>
      <c r="B23" s="615" t="s">
        <v>855</v>
      </c>
      <c r="C23" s="616">
        <v>794</v>
      </c>
      <c r="D23" s="616">
        <v>794</v>
      </c>
      <c r="E23" s="616">
        <v>794</v>
      </c>
      <c r="F23" s="616">
        <v>515</v>
      </c>
      <c r="G23" s="616">
        <v>305</v>
      </c>
      <c r="H23" s="616">
        <v>0</v>
      </c>
      <c r="I23" s="616">
        <v>210</v>
      </c>
      <c r="J23" s="616">
        <v>0</v>
      </c>
      <c r="K23" s="616">
        <v>0</v>
      </c>
      <c r="L23" s="616" t="s">
        <v>932</v>
      </c>
      <c r="M23" s="617" t="s">
        <v>7</v>
      </c>
      <c r="N23" s="617" t="s">
        <v>7</v>
      </c>
      <c r="O23" s="616" t="s">
        <v>1054</v>
      </c>
    </row>
    <row r="24" spans="1:15">
      <c r="A24" s="614">
        <v>15</v>
      </c>
      <c r="B24" s="615" t="s">
        <v>838</v>
      </c>
      <c r="C24" s="616">
        <v>824</v>
      </c>
      <c r="D24" s="616">
        <v>824</v>
      </c>
      <c r="E24" s="616">
        <v>824</v>
      </c>
      <c r="F24" s="616">
        <v>763</v>
      </c>
      <c r="G24" s="616">
        <v>529</v>
      </c>
      <c r="H24" s="616">
        <v>0</v>
      </c>
      <c r="I24" s="616">
        <v>234</v>
      </c>
      <c r="J24" s="616">
        <v>0</v>
      </c>
      <c r="K24" s="616">
        <v>0</v>
      </c>
      <c r="L24" s="616" t="s">
        <v>932</v>
      </c>
      <c r="M24" s="617" t="s">
        <v>7</v>
      </c>
      <c r="N24" s="617" t="s">
        <v>7</v>
      </c>
      <c r="O24" s="616" t="s">
        <v>1054</v>
      </c>
    </row>
    <row r="25" spans="1:15">
      <c r="A25" s="614">
        <v>16</v>
      </c>
      <c r="B25" s="615" t="s">
        <v>839</v>
      </c>
      <c r="C25" s="616">
        <v>335</v>
      </c>
      <c r="D25" s="616">
        <v>335</v>
      </c>
      <c r="E25" s="616">
        <v>335</v>
      </c>
      <c r="F25" s="616">
        <v>1406</v>
      </c>
      <c r="G25" s="616">
        <v>1117</v>
      </c>
      <c r="H25" s="616">
        <v>0</v>
      </c>
      <c r="I25" s="616">
        <v>289</v>
      </c>
      <c r="J25" s="616">
        <v>0</v>
      </c>
      <c r="K25" s="616">
        <v>0</v>
      </c>
      <c r="L25" s="616" t="s">
        <v>932</v>
      </c>
      <c r="M25" s="617" t="s">
        <v>7</v>
      </c>
      <c r="N25" s="617" t="s">
        <v>7</v>
      </c>
      <c r="O25" s="616" t="s">
        <v>1054</v>
      </c>
    </row>
    <row r="26" spans="1:15">
      <c r="A26" s="614">
        <v>17</v>
      </c>
      <c r="B26" s="615" t="s">
        <v>827</v>
      </c>
      <c r="C26" s="616">
        <v>1102</v>
      </c>
      <c r="D26" s="616">
        <v>1102</v>
      </c>
      <c r="E26" s="616">
        <v>1102</v>
      </c>
      <c r="F26" s="616">
        <v>1135</v>
      </c>
      <c r="G26" s="616">
        <v>344</v>
      </c>
      <c r="H26" s="616">
        <v>0</v>
      </c>
      <c r="I26" s="616">
        <v>791</v>
      </c>
      <c r="J26" s="616">
        <v>0</v>
      </c>
      <c r="K26" s="616">
        <v>0</v>
      </c>
      <c r="L26" s="616" t="s">
        <v>932</v>
      </c>
      <c r="M26" s="617" t="s">
        <v>7</v>
      </c>
      <c r="N26" s="617" t="s">
        <v>7</v>
      </c>
      <c r="O26" s="616" t="s">
        <v>1054</v>
      </c>
    </row>
    <row r="27" spans="1:15">
      <c r="A27" s="614">
        <v>18</v>
      </c>
      <c r="B27" s="615" t="s">
        <v>833</v>
      </c>
      <c r="C27" s="616">
        <v>855</v>
      </c>
      <c r="D27" s="616">
        <v>855</v>
      </c>
      <c r="E27" s="616">
        <v>855</v>
      </c>
      <c r="F27" s="616">
        <v>726</v>
      </c>
      <c r="G27" s="616">
        <v>261</v>
      </c>
      <c r="H27" s="616">
        <v>0</v>
      </c>
      <c r="I27" s="616">
        <v>465</v>
      </c>
      <c r="J27" s="616">
        <v>0</v>
      </c>
      <c r="K27" s="616">
        <v>0</v>
      </c>
      <c r="L27" s="616" t="s">
        <v>932</v>
      </c>
      <c r="M27" s="617" t="s">
        <v>7</v>
      </c>
      <c r="N27" s="617" t="s">
        <v>7</v>
      </c>
      <c r="O27" s="616" t="s">
        <v>1054</v>
      </c>
    </row>
    <row r="28" spans="1:15">
      <c r="A28" s="614">
        <v>19</v>
      </c>
      <c r="B28" s="615" t="s">
        <v>856</v>
      </c>
      <c r="C28" s="616">
        <v>1037</v>
      </c>
      <c r="D28" s="616">
        <v>1037</v>
      </c>
      <c r="E28" s="616">
        <v>1037</v>
      </c>
      <c r="F28" s="616">
        <v>648</v>
      </c>
      <c r="G28" s="616">
        <v>516</v>
      </c>
      <c r="H28" s="616">
        <v>0</v>
      </c>
      <c r="I28" s="616">
        <v>132</v>
      </c>
      <c r="J28" s="616">
        <v>0</v>
      </c>
      <c r="K28" s="616">
        <v>0</v>
      </c>
      <c r="L28" s="616" t="s">
        <v>932</v>
      </c>
      <c r="M28" s="617" t="s">
        <v>7</v>
      </c>
      <c r="N28" s="617" t="s">
        <v>7</v>
      </c>
      <c r="O28" s="616" t="s">
        <v>1054</v>
      </c>
    </row>
    <row r="29" spans="1:15">
      <c r="A29" s="614">
        <v>20</v>
      </c>
      <c r="B29" s="615" t="s">
        <v>841</v>
      </c>
      <c r="C29" s="616">
        <v>1317</v>
      </c>
      <c r="D29" s="616">
        <v>1317</v>
      </c>
      <c r="E29" s="616">
        <v>1317</v>
      </c>
      <c r="F29" s="616">
        <v>632</v>
      </c>
      <c r="G29" s="616">
        <v>244</v>
      </c>
      <c r="H29" s="616">
        <v>0</v>
      </c>
      <c r="I29" s="616">
        <v>388</v>
      </c>
      <c r="J29" s="616">
        <v>0</v>
      </c>
      <c r="K29" s="616">
        <v>0</v>
      </c>
      <c r="L29" s="616" t="s">
        <v>932</v>
      </c>
      <c r="M29" s="617" t="s">
        <v>7</v>
      </c>
      <c r="N29" s="617" t="s">
        <v>7</v>
      </c>
      <c r="O29" s="616" t="s">
        <v>1054</v>
      </c>
    </row>
    <row r="30" spans="1:15">
      <c r="A30" s="614">
        <v>21</v>
      </c>
      <c r="B30" s="615" t="s">
        <v>857</v>
      </c>
      <c r="C30" s="616">
        <v>1372</v>
      </c>
      <c r="D30" s="616">
        <v>1372</v>
      </c>
      <c r="E30" s="616">
        <v>1372</v>
      </c>
      <c r="F30" s="616">
        <v>314</v>
      </c>
      <c r="G30" s="616">
        <v>28</v>
      </c>
      <c r="H30" s="616">
        <v>0</v>
      </c>
      <c r="I30" s="616">
        <v>286</v>
      </c>
      <c r="J30" s="616">
        <v>0</v>
      </c>
      <c r="K30" s="616">
        <v>0</v>
      </c>
      <c r="L30" s="616" t="s">
        <v>932</v>
      </c>
      <c r="M30" s="617" t="s">
        <v>7</v>
      </c>
      <c r="N30" s="617" t="s">
        <v>7</v>
      </c>
      <c r="O30" s="616" t="s">
        <v>1054</v>
      </c>
    </row>
    <row r="31" spans="1:15">
      <c r="A31" s="614">
        <v>22</v>
      </c>
      <c r="B31" s="615" t="s">
        <v>831</v>
      </c>
      <c r="C31" s="616">
        <v>910</v>
      </c>
      <c r="D31" s="616">
        <v>910</v>
      </c>
      <c r="E31" s="616">
        <v>910</v>
      </c>
      <c r="F31" s="616">
        <v>689</v>
      </c>
      <c r="G31" s="616">
        <v>454</v>
      </c>
      <c r="H31" s="616">
        <v>0</v>
      </c>
      <c r="I31" s="616">
        <v>235</v>
      </c>
      <c r="J31" s="616">
        <v>0</v>
      </c>
      <c r="K31" s="616">
        <v>0</v>
      </c>
      <c r="L31" s="616" t="s">
        <v>932</v>
      </c>
      <c r="M31" s="617" t="s">
        <v>7</v>
      </c>
      <c r="N31" s="617" t="s">
        <v>7</v>
      </c>
      <c r="O31" s="616" t="s">
        <v>1054</v>
      </c>
    </row>
    <row r="32" spans="1:15">
      <c r="A32" s="614">
        <v>23</v>
      </c>
      <c r="B32" s="615" t="s">
        <v>849</v>
      </c>
      <c r="C32" s="616">
        <v>1244</v>
      </c>
      <c r="D32" s="616">
        <v>1244</v>
      </c>
      <c r="E32" s="616">
        <v>1244</v>
      </c>
      <c r="F32" s="616">
        <v>698</v>
      </c>
      <c r="G32" s="616">
        <v>632</v>
      </c>
      <c r="H32" s="616">
        <v>0</v>
      </c>
      <c r="I32" s="616">
        <v>66</v>
      </c>
      <c r="J32" s="616">
        <v>0</v>
      </c>
      <c r="K32" s="616">
        <v>0</v>
      </c>
      <c r="L32" s="616" t="s">
        <v>932</v>
      </c>
      <c r="M32" s="617" t="s">
        <v>7</v>
      </c>
      <c r="N32" s="617" t="s">
        <v>7</v>
      </c>
      <c r="O32" s="616" t="s">
        <v>1054</v>
      </c>
    </row>
    <row r="33" spans="1:15">
      <c r="A33" s="614">
        <v>24</v>
      </c>
      <c r="B33" s="615" t="s">
        <v>836</v>
      </c>
      <c r="C33" s="616">
        <v>1008</v>
      </c>
      <c r="D33" s="616">
        <v>1008</v>
      </c>
      <c r="E33" s="616">
        <v>1008</v>
      </c>
      <c r="F33" s="616">
        <v>505</v>
      </c>
      <c r="G33" s="616">
        <v>57</v>
      </c>
      <c r="H33" s="616">
        <v>0</v>
      </c>
      <c r="I33" s="616">
        <v>448</v>
      </c>
      <c r="J33" s="616">
        <v>0</v>
      </c>
      <c r="K33" s="616">
        <v>0</v>
      </c>
      <c r="L33" s="616" t="s">
        <v>932</v>
      </c>
      <c r="M33" s="617" t="s">
        <v>7</v>
      </c>
      <c r="N33" s="617" t="s">
        <v>7</v>
      </c>
      <c r="O33" s="616" t="s">
        <v>1054</v>
      </c>
    </row>
    <row r="34" spans="1:15">
      <c r="A34" s="614">
        <v>25</v>
      </c>
      <c r="B34" s="615" t="s">
        <v>842</v>
      </c>
      <c r="C34" s="616">
        <v>771</v>
      </c>
      <c r="D34" s="616">
        <v>771</v>
      </c>
      <c r="E34" s="616">
        <v>771</v>
      </c>
      <c r="F34" s="616">
        <v>252</v>
      </c>
      <c r="G34" s="616">
        <v>135</v>
      </c>
      <c r="H34" s="616">
        <v>0</v>
      </c>
      <c r="I34" s="616">
        <v>117</v>
      </c>
      <c r="J34" s="616">
        <v>0</v>
      </c>
      <c r="K34" s="616">
        <v>0</v>
      </c>
      <c r="L34" s="616" t="s">
        <v>932</v>
      </c>
      <c r="M34" s="617" t="s">
        <v>7</v>
      </c>
      <c r="N34" s="617" t="s">
        <v>7</v>
      </c>
      <c r="O34" s="616" t="s">
        <v>1054</v>
      </c>
    </row>
    <row r="35" spans="1:15">
      <c r="A35" s="614">
        <v>26</v>
      </c>
      <c r="B35" s="615" t="s">
        <v>840</v>
      </c>
      <c r="C35" s="616">
        <v>819</v>
      </c>
      <c r="D35" s="616">
        <v>819</v>
      </c>
      <c r="E35" s="616">
        <v>819</v>
      </c>
      <c r="F35" s="616">
        <v>839</v>
      </c>
      <c r="G35" s="616">
        <v>554</v>
      </c>
      <c r="H35" s="616">
        <v>0</v>
      </c>
      <c r="I35" s="616">
        <v>285</v>
      </c>
      <c r="J35" s="616">
        <v>0</v>
      </c>
      <c r="K35" s="616">
        <v>0</v>
      </c>
      <c r="L35" s="616" t="s">
        <v>932</v>
      </c>
      <c r="M35" s="617" t="s">
        <v>7</v>
      </c>
      <c r="N35" s="617" t="s">
        <v>7</v>
      </c>
      <c r="O35" s="616" t="s">
        <v>1054</v>
      </c>
    </row>
    <row r="36" spans="1:15">
      <c r="A36" s="614">
        <v>27</v>
      </c>
      <c r="B36" s="615" t="s">
        <v>843</v>
      </c>
      <c r="C36" s="616">
        <v>1281</v>
      </c>
      <c r="D36" s="616">
        <v>1281</v>
      </c>
      <c r="E36" s="616">
        <v>1281</v>
      </c>
      <c r="F36" s="616">
        <v>745</v>
      </c>
      <c r="G36" s="616">
        <v>464</v>
      </c>
      <c r="H36" s="616">
        <v>0</v>
      </c>
      <c r="I36" s="616">
        <v>281</v>
      </c>
      <c r="J36" s="616">
        <v>0</v>
      </c>
      <c r="K36" s="616">
        <v>0</v>
      </c>
      <c r="L36" s="616" t="s">
        <v>932</v>
      </c>
      <c r="M36" s="617" t="s">
        <v>7</v>
      </c>
      <c r="N36" s="617" t="s">
        <v>7</v>
      </c>
      <c r="O36" s="616" t="s">
        <v>1054</v>
      </c>
    </row>
    <row r="37" spans="1:15">
      <c r="A37" s="614">
        <v>28</v>
      </c>
      <c r="B37" s="615" t="s">
        <v>844</v>
      </c>
      <c r="C37" s="616">
        <v>261</v>
      </c>
      <c r="D37" s="616">
        <v>261</v>
      </c>
      <c r="E37" s="616">
        <v>261</v>
      </c>
      <c r="F37" s="616">
        <v>1219</v>
      </c>
      <c r="G37" s="616">
        <v>848</v>
      </c>
      <c r="H37" s="616">
        <v>0</v>
      </c>
      <c r="I37" s="616">
        <v>371</v>
      </c>
      <c r="J37" s="616">
        <v>0</v>
      </c>
      <c r="K37" s="616">
        <v>0</v>
      </c>
      <c r="L37" s="616" t="s">
        <v>932</v>
      </c>
      <c r="M37" s="617" t="s">
        <v>7</v>
      </c>
      <c r="N37" s="617" t="s">
        <v>7</v>
      </c>
      <c r="O37" s="616" t="s">
        <v>1054</v>
      </c>
    </row>
    <row r="38" spans="1:15">
      <c r="A38" s="614">
        <v>29</v>
      </c>
      <c r="B38" s="615" t="s">
        <v>845</v>
      </c>
      <c r="C38" s="616">
        <v>1293</v>
      </c>
      <c r="D38" s="616">
        <v>1293</v>
      </c>
      <c r="E38" s="616">
        <v>1293</v>
      </c>
      <c r="F38" s="616">
        <v>907</v>
      </c>
      <c r="G38" s="616">
        <v>490</v>
      </c>
      <c r="H38" s="616">
        <v>0</v>
      </c>
      <c r="I38" s="616">
        <v>417</v>
      </c>
      <c r="J38" s="616">
        <v>0</v>
      </c>
      <c r="K38" s="616">
        <v>0</v>
      </c>
      <c r="L38" s="616" t="s">
        <v>932</v>
      </c>
      <c r="M38" s="617" t="s">
        <v>7</v>
      </c>
      <c r="N38" s="617" t="s">
        <v>7</v>
      </c>
      <c r="O38" s="616" t="s">
        <v>1054</v>
      </c>
    </row>
    <row r="39" spans="1:15">
      <c r="A39" s="614">
        <v>30</v>
      </c>
      <c r="B39" s="615" t="s">
        <v>846</v>
      </c>
      <c r="C39" s="616">
        <v>661</v>
      </c>
      <c r="D39" s="616">
        <v>661</v>
      </c>
      <c r="E39" s="616">
        <v>661</v>
      </c>
      <c r="F39" s="616">
        <v>451</v>
      </c>
      <c r="G39" s="616">
        <v>292</v>
      </c>
      <c r="H39" s="616">
        <v>0</v>
      </c>
      <c r="I39" s="616">
        <v>159</v>
      </c>
      <c r="J39" s="616">
        <v>0</v>
      </c>
      <c r="K39" s="616">
        <v>0</v>
      </c>
      <c r="L39" s="616" t="s">
        <v>932</v>
      </c>
      <c r="M39" s="617" t="s">
        <v>7</v>
      </c>
      <c r="N39" s="617" t="s">
        <v>7</v>
      </c>
      <c r="O39" s="616" t="s">
        <v>1054</v>
      </c>
    </row>
    <row r="40" spans="1:15">
      <c r="A40" s="614">
        <v>31</v>
      </c>
      <c r="B40" s="615" t="s">
        <v>850</v>
      </c>
      <c r="C40" s="616">
        <v>594</v>
      </c>
      <c r="D40" s="616">
        <v>594</v>
      </c>
      <c r="E40" s="616">
        <v>594</v>
      </c>
      <c r="F40" s="616">
        <v>218</v>
      </c>
      <c r="G40" s="616">
        <v>147</v>
      </c>
      <c r="H40" s="616">
        <v>0</v>
      </c>
      <c r="I40" s="616">
        <v>71</v>
      </c>
      <c r="J40" s="616">
        <v>0</v>
      </c>
      <c r="K40" s="616">
        <v>0</v>
      </c>
      <c r="L40" s="616" t="s">
        <v>932</v>
      </c>
      <c r="M40" s="617" t="s">
        <v>7</v>
      </c>
      <c r="N40" s="617" t="s">
        <v>7</v>
      </c>
      <c r="O40" s="616" t="s">
        <v>1054</v>
      </c>
    </row>
    <row r="41" spans="1:15">
      <c r="A41" s="614">
        <v>32</v>
      </c>
      <c r="B41" s="615" t="s">
        <v>847</v>
      </c>
      <c r="C41" s="616">
        <v>1241</v>
      </c>
      <c r="D41" s="616">
        <v>1241</v>
      </c>
      <c r="E41" s="616">
        <v>1241</v>
      </c>
      <c r="F41" s="616">
        <v>552</v>
      </c>
      <c r="G41" s="616">
        <v>361</v>
      </c>
      <c r="H41" s="616">
        <v>0</v>
      </c>
      <c r="I41" s="616">
        <v>191</v>
      </c>
      <c r="J41" s="616">
        <v>0</v>
      </c>
      <c r="K41" s="616">
        <v>0</v>
      </c>
      <c r="L41" s="616" t="s">
        <v>932</v>
      </c>
      <c r="M41" s="617" t="s">
        <v>7</v>
      </c>
      <c r="N41" s="617" t="s">
        <v>7</v>
      </c>
      <c r="O41" s="616" t="s">
        <v>1054</v>
      </c>
    </row>
    <row r="42" spans="1:15">
      <c r="A42" s="614">
        <v>33</v>
      </c>
      <c r="B42" s="615" t="s">
        <v>848</v>
      </c>
      <c r="C42" s="616">
        <v>595</v>
      </c>
      <c r="D42" s="616">
        <v>595</v>
      </c>
      <c r="E42" s="616">
        <v>595</v>
      </c>
      <c r="F42" s="616">
        <v>859</v>
      </c>
      <c r="G42" s="616">
        <v>691</v>
      </c>
      <c r="H42" s="616">
        <v>0</v>
      </c>
      <c r="I42" s="616">
        <v>168</v>
      </c>
      <c r="J42" s="616">
        <v>0</v>
      </c>
      <c r="K42" s="616">
        <v>0</v>
      </c>
      <c r="L42" s="616" t="s">
        <v>932</v>
      </c>
      <c r="M42" s="617" t="s">
        <v>7</v>
      </c>
      <c r="N42" s="617" t="s">
        <v>7</v>
      </c>
      <c r="O42" s="616" t="s">
        <v>1054</v>
      </c>
    </row>
    <row r="43" spans="1:15">
      <c r="A43" s="1335" t="s">
        <v>18</v>
      </c>
      <c r="B43" s="1335"/>
      <c r="C43" s="616">
        <f>SUM(C10:C42)</f>
        <v>34307</v>
      </c>
      <c r="D43" s="616">
        <f t="shared" ref="D43:I43" si="0">SUM(D10:D42)</f>
        <v>34307</v>
      </c>
      <c r="E43" s="616">
        <f t="shared" si="0"/>
        <v>34307</v>
      </c>
      <c r="F43" s="616">
        <f>SUM(F10:F42)</f>
        <v>23101</v>
      </c>
      <c r="G43" s="616">
        <f t="shared" si="0"/>
        <v>13097</v>
      </c>
      <c r="H43" s="616">
        <f t="shared" si="0"/>
        <v>0</v>
      </c>
      <c r="I43" s="616">
        <f t="shared" si="0"/>
        <v>10004</v>
      </c>
      <c r="J43" s="616">
        <v>0</v>
      </c>
      <c r="K43" s="616">
        <v>0</v>
      </c>
      <c r="L43" s="616" t="s">
        <v>932</v>
      </c>
      <c r="M43" s="617" t="s">
        <v>7</v>
      </c>
      <c r="N43" s="617" t="s">
        <v>7</v>
      </c>
      <c r="O43" s="617" t="s">
        <v>7</v>
      </c>
    </row>
    <row r="44" spans="1:15">
      <c r="A44" s="618"/>
      <c r="B44" s="610"/>
      <c r="C44" s="610"/>
      <c r="D44" s="610"/>
      <c r="E44" s="610"/>
      <c r="F44" s="610"/>
      <c r="G44" s="610"/>
      <c r="H44" s="610"/>
      <c r="I44" s="610"/>
      <c r="J44" s="610"/>
      <c r="K44" s="610"/>
      <c r="L44" s="610"/>
      <c r="M44" s="610"/>
      <c r="N44" s="610"/>
      <c r="O44" s="610"/>
    </row>
    <row r="45" spans="1:15">
      <c r="A45" s="1336" t="s">
        <v>1055</v>
      </c>
      <c r="B45" s="1336"/>
      <c r="C45" s="1336"/>
      <c r="D45" s="1336"/>
      <c r="E45" s="1336"/>
      <c r="F45" s="610"/>
      <c r="G45" s="610"/>
      <c r="H45" s="610"/>
      <c r="I45" s="610"/>
      <c r="J45" s="610"/>
      <c r="K45" s="610"/>
      <c r="L45" s="610"/>
      <c r="M45" s="610"/>
      <c r="N45" s="610"/>
      <c r="O45" s="610"/>
    </row>
    <row r="47" spans="1:15" s="994" customFormat="1" ht="15.75" customHeight="1">
      <c r="A47" s="15" t="s">
        <v>12</v>
      </c>
      <c r="B47" s="15"/>
      <c r="C47" s="15"/>
      <c r="J47" s="992"/>
      <c r="M47" s="1040" t="s">
        <v>1106</v>
      </c>
      <c r="N47" s="1040"/>
      <c r="O47" s="1040"/>
    </row>
    <row r="48" spans="1:15" s="994" customFormat="1" ht="15.6" customHeight="1">
      <c r="M48" s="1040" t="s">
        <v>481</v>
      </c>
      <c r="N48" s="1040"/>
      <c r="O48" s="1040"/>
    </row>
    <row r="49" spans="1:15" s="994" customFormat="1" ht="15.6" customHeight="1">
      <c r="M49" s="1040" t="s">
        <v>1107</v>
      </c>
      <c r="N49" s="1040"/>
      <c r="O49" s="1040"/>
    </row>
    <row r="50" spans="1:15">
      <c r="A50" s="289"/>
      <c r="B50" s="289"/>
      <c r="C50" s="289"/>
      <c r="D50" s="289"/>
      <c r="E50" s="289"/>
      <c r="F50" s="619"/>
      <c r="G50" s="619"/>
      <c r="H50" s="619"/>
      <c r="I50" s="619"/>
      <c r="J50" s="619"/>
      <c r="K50" s="619"/>
      <c r="L50" s="619"/>
      <c r="M50" s="610"/>
      <c r="N50" s="610"/>
      <c r="O50" s="610"/>
    </row>
  </sheetData>
  <mergeCells count="26">
    <mergeCell ref="M6:O6"/>
    <mergeCell ref="N1:O1"/>
    <mergeCell ref="A1:M1"/>
    <mergeCell ref="A2:N2"/>
    <mergeCell ref="A4:N4"/>
    <mergeCell ref="A43:B43"/>
    <mergeCell ref="A45:E45"/>
    <mergeCell ref="N8:N9"/>
    <mergeCell ref="O8:O9"/>
    <mergeCell ref="B7:B9"/>
    <mergeCell ref="M7:O7"/>
    <mergeCell ref="G8:H8"/>
    <mergeCell ref="G7:K7"/>
    <mergeCell ref="L7:L9"/>
    <mergeCell ref="J8:J9"/>
    <mergeCell ref="A7:A9"/>
    <mergeCell ref="I8:I9"/>
    <mergeCell ref="C7:C9"/>
    <mergeCell ref="D7:D9"/>
    <mergeCell ref="E7:E9"/>
    <mergeCell ref="F7:F9"/>
    <mergeCell ref="M47:O47"/>
    <mergeCell ref="M48:O48"/>
    <mergeCell ref="M49:O49"/>
    <mergeCell ref="K8:K9"/>
    <mergeCell ref="M8:M9"/>
  </mergeCells>
  <printOptions horizontalCentered="1"/>
  <pageMargins left="0.70866141732283472" right="0.70866141732283472" top="0.63" bottom="0" header="0.79" footer="0.31496062992125984"/>
  <pageSetup paperSize="9" scale="7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S31"/>
  <sheetViews>
    <sheetView topLeftCell="A21" zoomScaleSheetLayoutView="90" workbookViewId="0">
      <selection activeCell="E13" sqref="E13"/>
    </sheetView>
  </sheetViews>
  <sheetFormatPr defaultRowHeight="12.75"/>
  <cols>
    <col min="1" max="1" width="10.28515625" customWidth="1"/>
    <col min="2" max="2" width="12" customWidth="1"/>
    <col min="3" max="3" width="16.28515625" customWidth="1"/>
    <col min="4" max="4" width="15.7109375" customWidth="1"/>
    <col min="5" max="5" width="11.42578125" customWidth="1"/>
    <col min="6" max="6" width="15" customWidth="1"/>
    <col min="7" max="7" width="9.7109375" customWidth="1"/>
    <col min="8" max="8" width="15.28515625" customWidth="1"/>
    <col min="9" max="9" width="16.42578125" customWidth="1"/>
    <col min="10" max="10" width="18.28515625" customWidth="1"/>
    <col min="11" max="11" width="14.28515625" customWidth="1"/>
  </cols>
  <sheetData>
    <row r="1" spans="1:19" ht="15">
      <c r="D1" s="1114"/>
      <c r="E1" s="1114"/>
      <c r="H1" s="39"/>
      <c r="I1" s="1185" t="s">
        <v>68</v>
      </c>
      <c r="J1" s="1185"/>
    </row>
    <row r="2" spans="1:19" ht="15.75">
      <c r="A2" s="1111" t="s">
        <v>0</v>
      </c>
      <c r="B2" s="1111"/>
      <c r="C2" s="1111"/>
      <c r="D2" s="1111"/>
      <c r="E2" s="1111"/>
      <c r="F2" s="1111"/>
      <c r="G2" s="1111"/>
      <c r="H2" s="1111"/>
      <c r="I2" s="1111"/>
      <c r="J2" s="1111"/>
    </row>
    <row r="3" spans="1:19" ht="20.25">
      <c r="A3" s="1112" t="s">
        <v>636</v>
      </c>
      <c r="B3" s="1112"/>
      <c r="C3" s="1112"/>
      <c r="D3" s="1112"/>
      <c r="E3" s="1112"/>
      <c r="F3" s="1112"/>
      <c r="G3" s="1112"/>
      <c r="H3" s="1112"/>
      <c r="I3" s="1112"/>
      <c r="J3" s="1112"/>
    </row>
    <row r="4" spans="1:19" s="16" customFormat="1" ht="24.75" customHeight="1">
      <c r="A4" s="1349" t="s">
        <v>436</v>
      </c>
      <c r="B4" s="1349"/>
      <c r="C4" s="1349"/>
      <c r="D4" s="1349"/>
      <c r="E4" s="1349"/>
      <c r="F4" s="1349"/>
      <c r="G4" s="1349"/>
      <c r="H4" s="1349"/>
      <c r="I4" s="1349"/>
      <c r="J4" s="1349"/>
      <c r="K4" s="1349"/>
    </row>
    <row r="5" spans="1:19" s="16" customFormat="1">
      <c r="A5" s="1092" t="s">
        <v>1047</v>
      </c>
      <c r="B5" s="1092"/>
      <c r="E5" s="1274"/>
      <c r="F5" s="1274"/>
      <c r="G5" s="1274"/>
      <c r="H5" s="1274"/>
      <c r="I5" s="1274" t="s">
        <v>795</v>
      </c>
      <c r="J5" s="1274"/>
      <c r="K5" s="1274"/>
    </row>
    <row r="6" spans="1:19" s="14" customFormat="1" ht="15.75" hidden="1" customHeight="1">
      <c r="C6" s="1348" t="s">
        <v>15</v>
      </c>
      <c r="D6" s="1348"/>
      <c r="E6" s="1348"/>
      <c r="F6" s="1348"/>
      <c r="G6" s="1348"/>
      <c r="H6" s="1348"/>
      <c r="I6" s="1348"/>
      <c r="J6" s="1348"/>
    </row>
    <row r="7" spans="1:19" ht="44.25" customHeight="1">
      <c r="A7" s="1181" t="s">
        <v>25</v>
      </c>
      <c r="B7" s="1181" t="s">
        <v>59</v>
      </c>
      <c r="C7" s="1090" t="s">
        <v>463</v>
      </c>
      <c r="D7" s="1091"/>
      <c r="E7" s="1090" t="s">
        <v>39</v>
      </c>
      <c r="F7" s="1091"/>
      <c r="G7" s="1090" t="s">
        <v>40</v>
      </c>
      <c r="H7" s="1091"/>
      <c r="I7" s="1090" t="s">
        <v>104</v>
      </c>
      <c r="J7" s="1091"/>
      <c r="K7" s="1181" t="s">
        <v>512</v>
      </c>
      <c r="R7" s="13"/>
      <c r="S7" s="13"/>
    </row>
    <row r="8" spans="1:19" s="15" customFormat="1" ht="42.6" customHeight="1">
      <c r="A8" s="1182"/>
      <c r="B8" s="1182"/>
      <c r="C8" s="5" t="s">
        <v>41</v>
      </c>
      <c r="D8" s="5" t="s">
        <v>103</v>
      </c>
      <c r="E8" s="5" t="s">
        <v>41</v>
      </c>
      <c r="F8" s="5" t="s">
        <v>103</v>
      </c>
      <c r="G8" s="5" t="s">
        <v>41</v>
      </c>
      <c r="H8" s="5" t="s">
        <v>103</v>
      </c>
      <c r="I8" s="5" t="s">
        <v>136</v>
      </c>
      <c r="J8" s="5" t="s">
        <v>996</v>
      </c>
      <c r="K8" s="1182"/>
    </row>
    <row r="9" spans="1:19">
      <c r="A9" s="131">
        <v>1</v>
      </c>
      <c r="B9" s="131">
        <v>2</v>
      </c>
      <c r="C9" s="131">
        <v>3</v>
      </c>
      <c r="D9" s="131">
        <v>4</v>
      </c>
      <c r="E9" s="131">
        <v>5</v>
      </c>
      <c r="F9" s="131">
        <v>6</v>
      </c>
      <c r="G9" s="131">
        <v>7</v>
      </c>
      <c r="H9" s="131">
        <v>8</v>
      </c>
      <c r="I9" s="131">
        <v>9</v>
      </c>
      <c r="J9" s="131">
        <v>10</v>
      </c>
      <c r="K9" s="3">
        <v>11</v>
      </c>
    </row>
    <row r="10" spans="1:19" ht="17.25" customHeight="1">
      <c r="A10" s="8">
        <v>1</v>
      </c>
      <c r="B10" s="19" t="s">
        <v>372</v>
      </c>
      <c r="C10" s="820">
        <v>6318</v>
      </c>
      <c r="D10" s="820">
        <v>3790.56</v>
      </c>
      <c r="E10" s="820">
        <v>6318</v>
      </c>
      <c r="F10" s="820">
        <v>3790.56</v>
      </c>
      <c r="G10" s="820">
        <v>0</v>
      </c>
      <c r="H10" s="820">
        <v>0</v>
      </c>
      <c r="I10" s="820">
        <v>0</v>
      </c>
      <c r="J10" s="820">
        <v>0</v>
      </c>
      <c r="K10" s="820">
        <v>0</v>
      </c>
    </row>
    <row r="11" spans="1:19" ht="17.25" customHeight="1">
      <c r="A11" s="8">
        <v>2</v>
      </c>
      <c r="B11" s="19" t="s">
        <v>373</v>
      </c>
      <c r="C11" s="820">
        <v>0</v>
      </c>
      <c r="D11" s="820">
        <v>0</v>
      </c>
      <c r="E11" s="820">
        <v>0</v>
      </c>
      <c r="F11" s="820">
        <v>0</v>
      </c>
      <c r="G11" s="820">
        <v>0</v>
      </c>
      <c r="H11" s="820">
        <v>0</v>
      </c>
      <c r="I11" s="820">
        <v>0</v>
      </c>
      <c r="J11" s="820">
        <v>0</v>
      </c>
      <c r="K11" s="820">
        <v>0</v>
      </c>
    </row>
    <row r="12" spans="1:19" ht="17.25" customHeight="1">
      <c r="A12" s="8">
        <v>3</v>
      </c>
      <c r="B12" s="19" t="s">
        <v>374</v>
      </c>
      <c r="C12" s="820">
        <v>9303</v>
      </c>
      <c r="D12" s="821">
        <v>5581.8</v>
      </c>
      <c r="E12" s="820">
        <v>8536</v>
      </c>
      <c r="F12" s="821">
        <v>5581.8</v>
      </c>
      <c r="G12" s="820">
        <v>0</v>
      </c>
      <c r="H12" s="820">
        <v>0</v>
      </c>
      <c r="I12" s="820">
        <v>767</v>
      </c>
      <c r="J12" s="820">
        <v>0</v>
      </c>
      <c r="K12" s="820">
        <v>0</v>
      </c>
    </row>
    <row r="13" spans="1:19" ht="17.25" customHeight="1">
      <c r="A13" s="8">
        <v>4</v>
      </c>
      <c r="B13" s="19" t="s">
        <v>375</v>
      </c>
      <c r="C13" s="820">
        <v>4247</v>
      </c>
      <c r="D13" s="821">
        <v>4415.07</v>
      </c>
      <c r="E13" s="820">
        <v>4240</v>
      </c>
      <c r="F13" s="821">
        <v>4415.07</v>
      </c>
      <c r="G13" s="820">
        <v>7</v>
      </c>
      <c r="H13" s="820">
        <v>0</v>
      </c>
      <c r="I13" s="820">
        <v>0</v>
      </c>
      <c r="J13" s="820">
        <v>0</v>
      </c>
      <c r="K13" s="820">
        <v>0</v>
      </c>
    </row>
    <row r="14" spans="1:19" ht="17.25" customHeight="1">
      <c r="A14" s="8">
        <v>5</v>
      </c>
      <c r="B14" s="19" t="s">
        <v>376</v>
      </c>
      <c r="C14" s="820">
        <v>0</v>
      </c>
      <c r="D14" s="821">
        <v>0</v>
      </c>
      <c r="E14" s="820">
        <v>0</v>
      </c>
      <c r="F14" s="821">
        <v>0</v>
      </c>
      <c r="G14" s="820">
        <v>0</v>
      </c>
      <c r="H14" s="820">
        <v>0</v>
      </c>
      <c r="I14" s="820">
        <v>0</v>
      </c>
      <c r="J14" s="820">
        <v>0</v>
      </c>
      <c r="K14" s="820">
        <v>0</v>
      </c>
    </row>
    <row r="15" spans="1:19" ht="17.25" customHeight="1">
      <c r="A15" s="8">
        <v>6</v>
      </c>
      <c r="B15" s="19" t="s">
        <v>377</v>
      </c>
      <c r="C15" s="820">
        <v>0</v>
      </c>
      <c r="D15" s="820">
        <v>0</v>
      </c>
      <c r="E15" s="820">
        <v>0</v>
      </c>
      <c r="F15" s="820">
        <v>0</v>
      </c>
      <c r="G15" s="820">
        <v>0</v>
      </c>
      <c r="H15" s="820">
        <v>0</v>
      </c>
      <c r="I15" s="820">
        <v>0</v>
      </c>
      <c r="J15" s="820">
        <v>0</v>
      </c>
      <c r="K15" s="820">
        <v>0</v>
      </c>
      <c r="N15" s="235"/>
    </row>
    <row r="16" spans="1:19" ht="17.25" customHeight="1">
      <c r="A16" s="8">
        <v>7</v>
      </c>
      <c r="B16" s="19" t="s">
        <v>378</v>
      </c>
      <c r="C16" s="820">
        <v>0</v>
      </c>
      <c r="D16" s="820">
        <v>0</v>
      </c>
      <c r="E16" s="820">
        <v>0</v>
      </c>
      <c r="F16" s="820">
        <v>0</v>
      </c>
      <c r="G16" s="820">
        <v>0</v>
      </c>
      <c r="H16" s="820">
        <v>0</v>
      </c>
      <c r="I16" s="820">
        <v>0</v>
      </c>
      <c r="J16" s="820">
        <v>0</v>
      </c>
      <c r="K16" s="820">
        <v>0</v>
      </c>
    </row>
    <row r="17" spans="1:15" s="13" customFormat="1" ht="17.25" customHeight="1">
      <c r="A17" s="8">
        <v>8</v>
      </c>
      <c r="B17" s="19" t="s">
        <v>259</v>
      </c>
      <c r="C17" s="820">
        <v>5209</v>
      </c>
      <c r="D17" s="820">
        <v>9415.7199999999993</v>
      </c>
      <c r="E17" s="820">
        <v>5209</v>
      </c>
      <c r="F17" s="820">
        <v>9415.7199999999993</v>
      </c>
      <c r="G17" s="820">
        <v>0</v>
      </c>
      <c r="H17" s="820">
        <v>0</v>
      </c>
      <c r="I17" s="820">
        <v>0</v>
      </c>
      <c r="J17" s="820">
        <v>0</v>
      </c>
      <c r="K17" s="820">
        <v>0</v>
      </c>
    </row>
    <row r="18" spans="1:15" s="13" customFormat="1" ht="17.25" customHeight="1">
      <c r="A18" s="8">
        <v>9</v>
      </c>
      <c r="B18" s="19" t="s">
        <v>354</v>
      </c>
      <c r="C18" s="820">
        <v>0</v>
      </c>
      <c r="D18" s="821">
        <v>0</v>
      </c>
      <c r="E18" s="820">
        <v>0</v>
      </c>
      <c r="F18" s="821">
        <v>0</v>
      </c>
      <c r="G18" s="820">
        <v>0</v>
      </c>
      <c r="H18" s="820">
        <v>0</v>
      </c>
      <c r="I18" s="820">
        <v>0</v>
      </c>
      <c r="J18" s="820">
        <v>0</v>
      </c>
      <c r="K18" s="820">
        <v>0</v>
      </c>
    </row>
    <row r="19" spans="1:15" s="13" customFormat="1" ht="14.25" customHeight="1">
      <c r="A19" s="8">
        <v>10</v>
      </c>
      <c r="B19" s="19" t="s">
        <v>511</v>
      </c>
      <c r="C19" s="820">
        <v>0</v>
      </c>
      <c r="D19" s="820">
        <v>0</v>
      </c>
      <c r="E19" s="820">
        <v>0</v>
      </c>
      <c r="F19" s="820">
        <v>0</v>
      </c>
      <c r="G19" s="820">
        <v>0</v>
      </c>
      <c r="H19" s="820">
        <v>0</v>
      </c>
      <c r="I19" s="820">
        <v>0</v>
      </c>
      <c r="J19" s="820">
        <v>0</v>
      </c>
      <c r="K19" s="820"/>
    </row>
    <row r="20" spans="1:15" s="13" customFormat="1" ht="14.25" customHeight="1">
      <c r="A20" s="8">
        <v>11</v>
      </c>
      <c r="B20" s="19" t="s">
        <v>474</v>
      </c>
      <c r="C20" s="820">
        <v>0</v>
      </c>
      <c r="D20" s="820">
        <v>0</v>
      </c>
      <c r="E20" s="820">
        <v>0</v>
      </c>
      <c r="F20" s="820">
        <v>0</v>
      </c>
      <c r="G20" s="820">
        <v>0</v>
      </c>
      <c r="H20" s="820">
        <v>0</v>
      </c>
      <c r="I20" s="820">
        <v>0</v>
      </c>
      <c r="J20" s="820">
        <v>0</v>
      </c>
      <c r="K20" s="820"/>
    </row>
    <row r="21" spans="1:15" s="13" customFormat="1" ht="14.25" customHeight="1">
      <c r="A21" s="8">
        <v>12</v>
      </c>
      <c r="B21" s="19" t="s">
        <v>510</v>
      </c>
      <c r="C21" s="820">
        <v>0</v>
      </c>
      <c r="D21" s="820">
        <v>0</v>
      </c>
      <c r="E21" s="820">
        <v>0</v>
      </c>
      <c r="F21" s="820">
        <v>0</v>
      </c>
      <c r="G21" s="820">
        <v>0</v>
      </c>
      <c r="H21" s="820">
        <v>0</v>
      </c>
      <c r="I21" s="820">
        <v>0</v>
      </c>
      <c r="J21" s="820">
        <v>0</v>
      </c>
      <c r="K21" s="820">
        <v>0</v>
      </c>
    </row>
    <row r="22" spans="1:15" s="13" customFormat="1" ht="14.25" customHeight="1">
      <c r="A22" s="1070" t="s">
        <v>18</v>
      </c>
      <c r="B22" s="1071"/>
      <c r="C22" s="820">
        <f>SUM(C10:C21)</f>
        <v>25077</v>
      </c>
      <c r="D22" s="820">
        <f t="shared" ref="D22:K22" si="0">SUM(D10:D21)</f>
        <v>23203.15</v>
      </c>
      <c r="E22" s="820">
        <f t="shared" si="0"/>
        <v>24303</v>
      </c>
      <c r="F22" s="820">
        <f t="shared" si="0"/>
        <v>23203.15</v>
      </c>
      <c r="G22" s="820">
        <f t="shared" si="0"/>
        <v>7</v>
      </c>
      <c r="H22" s="820">
        <f t="shared" si="0"/>
        <v>0</v>
      </c>
      <c r="I22" s="820">
        <f t="shared" si="0"/>
        <v>767</v>
      </c>
      <c r="J22" s="820">
        <f t="shared" si="0"/>
        <v>0</v>
      </c>
      <c r="K22" s="820">
        <f t="shared" si="0"/>
        <v>0</v>
      </c>
      <c r="L22" s="473"/>
    </row>
    <row r="23" spans="1:15" s="13" customFormat="1" ht="14.25" customHeight="1">
      <c r="A23" s="11"/>
    </row>
    <row r="24" spans="1:15" s="13" customFormat="1" ht="15.75" customHeight="1">
      <c r="A24" s="1346" t="s">
        <v>1101</v>
      </c>
      <c r="B24" s="1347"/>
      <c r="C24" s="1347"/>
      <c r="D24" s="1347"/>
      <c r="E24" s="1347"/>
      <c r="F24" s="1347"/>
    </row>
    <row r="25" spans="1:15" s="13" customFormat="1">
      <c r="A25" s="11"/>
    </row>
    <row r="26" spans="1:15" s="994" customFormat="1" ht="15.75" customHeight="1">
      <c r="A26" s="15" t="s">
        <v>12</v>
      </c>
      <c r="B26" s="15"/>
      <c r="C26" s="15"/>
      <c r="J26" s="992"/>
      <c r="M26" s="1040" t="s">
        <v>1106</v>
      </c>
      <c r="N26" s="1040"/>
      <c r="O26" s="1040"/>
    </row>
    <row r="27" spans="1:15" s="994" customFormat="1" ht="15.6" customHeight="1">
      <c r="M27" s="1040" t="s">
        <v>481</v>
      </c>
      <c r="N27" s="1040"/>
      <c r="O27" s="1040"/>
    </row>
    <row r="28" spans="1:15" s="994" customFormat="1" ht="15.6" customHeight="1">
      <c r="M28" s="1040" t="s">
        <v>1107</v>
      </c>
      <c r="N28" s="1040"/>
      <c r="O28" s="1040"/>
    </row>
    <row r="29" spans="1:15" s="437" customFormat="1">
      <c r="A29" s="995"/>
      <c r="B29" s="995"/>
      <c r="C29" s="995"/>
      <c r="D29" s="995"/>
      <c r="E29" s="995"/>
      <c r="F29" s="619"/>
      <c r="G29" s="619"/>
      <c r="H29" s="619"/>
      <c r="I29" s="619"/>
      <c r="J29" s="619"/>
      <c r="K29" s="619"/>
      <c r="L29" s="619"/>
      <c r="M29" s="610"/>
      <c r="N29" s="610"/>
      <c r="O29" s="610"/>
    </row>
    <row r="30" spans="1:15" s="16" customFormat="1" ht="13.15" customHeight="1">
      <c r="A30" s="15"/>
    </row>
    <row r="31" spans="1:15">
      <c r="A31" s="1186"/>
      <c r="B31" s="1186"/>
      <c r="C31" s="1186"/>
      <c r="D31" s="1186"/>
      <c r="E31" s="1186"/>
      <c r="F31" s="1186"/>
      <c r="G31" s="1186"/>
      <c r="H31" s="1186"/>
      <c r="I31" s="1186"/>
      <c r="J31" s="1186"/>
    </row>
  </sheetData>
  <mergeCells count="22">
    <mergeCell ref="G7:H7"/>
    <mergeCell ref="D1:E1"/>
    <mergeCell ref="I1:J1"/>
    <mergeCell ref="A2:J2"/>
    <mergeCell ref="A3:J3"/>
    <mergeCell ref="A4:K4"/>
    <mergeCell ref="A31:J31"/>
    <mergeCell ref="A5:B5"/>
    <mergeCell ref="M26:O26"/>
    <mergeCell ref="M27:O27"/>
    <mergeCell ref="M28:O28"/>
    <mergeCell ref="A24:F24"/>
    <mergeCell ref="A22:B22"/>
    <mergeCell ref="I7:J7"/>
    <mergeCell ref="K7:K8"/>
    <mergeCell ref="E5:H5"/>
    <mergeCell ref="I5:K5"/>
    <mergeCell ref="C6:J6"/>
    <mergeCell ref="A7:A8"/>
    <mergeCell ref="B7:B8"/>
    <mergeCell ref="C7:D7"/>
    <mergeCell ref="E7:F7"/>
  </mergeCells>
  <printOptions horizontalCentered="1"/>
  <pageMargins left="0.70866141732283472" right="0.70866141732283472" top="0.63" bottom="0" header="0.79" footer="0.31496062992125984"/>
  <pageSetup paperSize="9" scale="86"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A1:S52"/>
  <sheetViews>
    <sheetView topLeftCell="A42" zoomScale="95" zoomScaleNormal="95" zoomScaleSheetLayoutView="90" workbookViewId="0">
      <selection activeCell="E13" sqref="E13"/>
    </sheetView>
  </sheetViews>
  <sheetFormatPr defaultRowHeight="12.75"/>
  <cols>
    <col min="2" max="2" width="17.42578125" customWidth="1"/>
    <col min="3" max="3" width="16.28515625" customWidth="1"/>
    <col min="4" max="4" width="18.28515625" customWidth="1"/>
    <col min="5" max="5" width="11.42578125" customWidth="1"/>
    <col min="6" max="6" width="15" customWidth="1"/>
    <col min="7" max="7" width="11" customWidth="1"/>
    <col min="8" max="8" width="15.28515625" customWidth="1"/>
    <col min="9" max="9" width="16.42578125" customWidth="1"/>
    <col min="10" max="10" width="18.28515625" customWidth="1"/>
    <col min="11" max="11" width="15.42578125" customWidth="1"/>
  </cols>
  <sheetData>
    <row r="1" spans="1:19" ht="15">
      <c r="D1" s="1114"/>
      <c r="E1" s="1114"/>
      <c r="H1" s="39"/>
      <c r="I1" s="1185" t="s">
        <v>379</v>
      </c>
      <c r="J1" s="1185"/>
    </row>
    <row r="2" spans="1:19" ht="15.75">
      <c r="A2" s="1111" t="s">
        <v>0</v>
      </c>
      <c r="B2" s="1111"/>
      <c r="C2" s="1111"/>
      <c r="D2" s="1111"/>
      <c r="E2" s="1111"/>
      <c r="F2" s="1111"/>
      <c r="G2" s="1111"/>
      <c r="H2" s="1111"/>
      <c r="I2" s="1111"/>
      <c r="J2" s="1111"/>
    </row>
    <row r="3" spans="1:19" ht="20.25">
      <c r="A3" s="1112" t="s">
        <v>665</v>
      </c>
      <c r="B3" s="1112"/>
      <c r="C3" s="1112"/>
      <c r="D3" s="1112"/>
      <c r="E3" s="1112"/>
      <c r="F3" s="1112"/>
      <c r="G3" s="1112"/>
      <c r="H3" s="1112"/>
      <c r="I3" s="1112"/>
      <c r="J3" s="1112"/>
    </row>
    <row r="4" spans="1:19" s="16" customFormat="1" ht="18.75" customHeight="1">
      <c r="A4" s="1349" t="s">
        <v>437</v>
      </c>
      <c r="B4" s="1349"/>
      <c r="C4" s="1349"/>
      <c r="D4" s="1349"/>
      <c r="E4" s="1349"/>
      <c r="F4" s="1349"/>
      <c r="G4" s="1349"/>
      <c r="H4" s="1349"/>
      <c r="I4" s="1349"/>
      <c r="J4" s="1349"/>
      <c r="K4" s="1349"/>
    </row>
    <row r="5" spans="1:19" s="16" customFormat="1">
      <c r="A5" s="1092" t="s">
        <v>1047</v>
      </c>
      <c r="B5" s="1092"/>
      <c r="E5" s="1274"/>
      <c r="F5" s="1274"/>
      <c r="G5" s="1274"/>
      <c r="H5" s="1274"/>
      <c r="I5" s="1274" t="s">
        <v>795</v>
      </c>
      <c r="J5" s="1274"/>
      <c r="K5" s="1274"/>
    </row>
    <row r="6" spans="1:19" s="14" customFormat="1" ht="15.75" hidden="1" customHeight="1">
      <c r="C6" s="1190" t="s">
        <v>15</v>
      </c>
      <c r="D6" s="1190"/>
      <c r="E6" s="1190"/>
      <c r="F6" s="1190"/>
      <c r="G6" s="1190"/>
      <c r="H6" s="1190"/>
      <c r="I6" s="1190"/>
      <c r="J6" s="1190"/>
    </row>
    <row r="7" spans="1:19" ht="30" customHeight="1">
      <c r="A7" s="1181" t="s">
        <v>25</v>
      </c>
      <c r="B7" s="1181" t="s">
        <v>38</v>
      </c>
      <c r="C7" s="1090" t="s">
        <v>666</v>
      </c>
      <c r="D7" s="1091"/>
      <c r="E7" s="1090" t="s">
        <v>39</v>
      </c>
      <c r="F7" s="1091"/>
      <c r="G7" s="1090" t="s">
        <v>40</v>
      </c>
      <c r="H7" s="1091"/>
      <c r="I7" s="1083" t="s">
        <v>104</v>
      </c>
      <c r="J7" s="1083"/>
      <c r="K7" s="1181" t="s">
        <v>244</v>
      </c>
      <c r="R7" s="13"/>
      <c r="S7" s="13"/>
    </row>
    <row r="8" spans="1:19" s="15" customFormat="1" ht="42.6" customHeight="1">
      <c r="A8" s="1182"/>
      <c r="B8" s="1182"/>
      <c r="C8" s="5" t="s">
        <v>41</v>
      </c>
      <c r="D8" s="5" t="s">
        <v>103</v>
      </c>
      <c r="E8" s="5" t="s">
        <v>41</v>
      </c>
      <c r="F8" s="5" t="s">
        <v>103</v>
      </c>
      <c r="G8" s="5" t="s">
        <v>41</v>
      </c>
      <c r="H8" s="5" t="s">
        <v>103</v>
      </c>
      <c r="I8" s="5" t="s">
        <v>136</v>
      </c>
      <c r="J8" s="5" t="s">
        <v>137</v>
      </c>
      <c r="K8" s="1182"/>
    </row>
    <row r="9" spans="1:19">
      <c r="A9" s="131">
        <v>1</v>
      </c>
      <c r="B9" s="131">
        <v>2</v>
      </c>
      <c r="C9" s="131">
        <v>3</v>
      </c>
      <c r="D9" s="131">
        <v>4</v>
      </c>
      <c r="E9" s="131">
        <v>5</v>
      </c>
      <c r="F9" s="131">
        <v>6</v>
      </c>
      <c r="G9" s="131">
        <v>7</v>
      </c>
      <c r="H9" s="131">
        <v>8</v>
      </c>
      <c r="I9" s="131">
        <v>9</v>
      </c>
      <c r="J9" s="131">
        <v>10</v>
      </c>
      <c r="K9" s="3">
        <v>11</v>
      </c>
    </row>
    <row r="10" spans="1:19" ht="15">
      <c r="A10" s="19">
        <v>1</v>
      </c>
      <c r="B10" s="474" t="s">
        <v>825</v>
      </c>
      <c r="C10" s="471">
        <v>792</v>
      </c>
      <c r="D10" s="472">
        <v>732.82</v>
      </c>
      <c r="E10" s="471">
        <v>760</v>
      </c>
      <c r="F10" s="472">
        <v>732.82</v>
      </c>
      <c r="G10" s="471">
        <v>2</v>
      </c>
      <c r="H10" s="471">
        <v>0</v>
      </c>
      <c r="I10" s="471">
        <v>30</v>
      </c>
      <c r="J10" s="471">
        <v>0</v>
      </c>
      <c r="K10" s="471">
        <v>0</v>
      </c>
    </row>
    <row r="11" spans="1:19" ht="15">
      <c r="A11" s="19">
        <v>2</v>
      </c>
      <c r="B11" s="474" t="s">
        <v>826</v>
      </c>
      <c r="C11" s="471">
        <v>677</v>
      </c>
      <c r="D11" s="472">
        <v>626.41</v>
      </c>
      <c r="E11" s="471">
        <v>676</v>
      </c>
      <c r="F11" s="472">
        <v>626.41</v>
      </c>
      <c r="G11" s="471">
        <v>0</v>
      </c>
      <c r="H11" s="471">
        <v>0</v>
      </c>
      <c r="I11" s="471">
        <v>1</v>
      </c>
      <c r="J11" s="471">
        <v>0</v>
      </c>
      <c r="K11" s="471">
        <v>0</v>
      </c>
    </row>
    <row r="12" spans="1:19" ht="15">
      <c r="A12" s="19">
        <v>3</v>
      </c>
      <c r="B12" s="474" t="s">
        <v>828</v>
      </c>
      <c r="C12" s="471">
        <v>918</v>
      </c>
      <c r="D12" s="472">
        <v>849.4</v>
      </c>
      <c r="E12" s="471">
        <v>818</v>
      </c>
      <c r="F12" s="472">
        <v>849.4</v>
      </c>
      <c r="G12" s="471">
        <v>0</v>
      </c>
      <c r="H12" s="471">
        <v>0</v>
      </c>
      <c r="I12" s="471">
        <v>100</v>
      </c>
      <c r="J12" s="471">
        <v>0</v>
      </c>
      <c r="K12" s="471">
        <v>0</v>
      </c>
    </row>
    <row r="13" spans="1:19" ht="15">
      <c r="A13" s="19">
        <v>4</v>
      </c>
      <c r="B13" s="474" t="s">
        <v>829</v>
      </c>
      <c r="C13" s="471">
        <v>2123</v>
      </c>
      <c r="D13" s="472">
        <v>1964.36</v>
      </c>
      <c r="E13" s="471">
        <v>2100</v>
      </c>
      <c r="F13" s="472">
        <v>1964.36</v>
      </c>
      <c r="G13" s="471">
        <v>4</v>
      </c>
      <c r="H13" s="471">
        <v>0</v>
      </c>
      <c r="I13" s="471">
        <v>19</v>
      </c>
      <c r="J13" s="471">
        <v>0</v>
      </c>
      <c r="K13" s="471">
        <v>0</v>
      </c>
    </row>
    <row r="14" spans="1:19" ht="15">
      <c r="A14" s="19">
        <v>5</v>
      </c>
      <c r="B14" s="474" t="s">
        <v>830</v>
      </c>
      <c r="C14" s="471">
        <v>703</v>
      </c>
      <c r="D14" s="472">
        <v>650.47</v>
      </c>
      <c r="E14" s="471">
        <v>686</v>
      </c>
      <c r="F14" s="472">
        <v>650.47</v>
      </c>
      <c r="G14" s="471">
        <v>0</v>
      </c>
      <c r="H14" s="471">
        <v>0</v>
      </c>
      <c r="I14" s="471">
        <v>17</v>
      </c>
      <c r="J14" s="471">
        <v>0</v>
      </c>
      <c r="K14" s="471">
        <v>0</v>
      </c>
    </row>
    <row r="15" spans="1:19" ht="15">
      <c r="A15" s="19">
        <v>6</v>
      </c>
      <c r="B15" s="474" t="s">
        <v>832</v>
      </c>
      <c r="C15" s="471">
        <v>929</v>
      </c>
      <c r="D15" s="472">
        <v>859.58</v>
      </c>
      <c r="E15" s="471">
        <v>928</v>
      </c>
      <c r="F15" s="472">
        <v>859.58</v>
      </c>
      <c r="G15" s="471">
        <v>0</v>
      </c>
      <c r="H15" s="471">
        <v>0</v>
      </c>
      <c r="I15" s="471">
        <v>1</v>
      </c>
      <c r="J15" s="471">
        <v>0</v>
      </c>
      <c r="K15" s="471">
        <v>0</v>
      </c>
    </row>
    <row r="16" spans="1:19" ht="15">
      <c r="A16" s="19">
        <v>7</v>
      </c>
      <c r="B16" s="474" t="s">
        <v>837</v>
      </c>
      <c r="C16" s="471">
        <v>1170</v>
      </c>
      <c r="D16" s="472">
        <v>1082.57</v>
      </c>
      <c r="E16" s="471">
        <v>1167</v>
      </c>
      <c r="F16" s="472">
        <v>1082.57</v>
      </c>
      <c r="G16" s="471">
        <v>0</v>
      </c>
      <c r="H16" s="471">
        <v>0</v>
      </c>
      <c r="I16" s="471">
        <v>3</v>
      </c>
      <c r="J16" s="471">
        <v>0</v>
      </c>
      <c r="K16" s="471">
        <v>0</v>
      </c>
    </row>
    <row r="17" spans="1:16" ht="15">
      <c r="A17" s="19">
        <v>8</v>
      </c>
      <c r="B17" s="474" t="s">
        <v>997</v>
      </c>
      <c r="C17" s="471">
        <v>287</v>
      </c>
      <c r="D17" s="472">
        <v>265.55</v>
      </c>
      <c r="E17" s="471">
        <v>284</v>
      </c>
      <c r="F17" s="472">
        <v>265.55</v>
      </c>
      <c r="G17" s="471">
        <v>0</v>
      </c>
      <c r="H17" s="471">
        <v>0</v>
      </c>
      <c r="I17" s="471">
        <v>3</v>
      </c>
      <c r="J17" s="471">
        <v>0</v>
      </c>
      <c r="K17" s="471">
        <v>0</v>
      </c>
    </row>
    <row r="18" spans="1:16" ht="15">
      <c r="A18" s="19">
        <v>9</v>
      </c>
      <c r="B18" s="474" t="s">
        <v>835</v>
      </c>
      <c r="C18" s="471">
        <v>256</v>
      </c>
      <c r="D18" s="472">
        <v>236.87</v>
      </c>
      <c r="E18" s="471">
        <v>225</v>
      </c>
      <c r="F18" s="472">
        <v>236.87</v>
      </c>
      <c r="G18" s="471">
        <v>0</v>
      </c>
      <c r="H18" s="471">
        <v>0</v>
      </c>
      <c r="I18" s="471">
        <v>31</v>
      </c>
      <c r="J18" s="471">
        <v>0</v>
      </c>
      <c r="K18" s="471">
        <v>0</v>
      </c>
    </row>
    <row r="19" spans="1:16" ht="15">
      <c r="A19" s="19">
        <v>10</v>
      </c>
      <c r="B19" s="474" t="s">
        <v>838</v>
      </c>
      <c r="C19" s="471">
        <v>1373</v>
      </c>
      <c r="D19" s="472">
        <v>1270.4000000000001</v>
      </c>
      <c r="E19" s="471">
        <v>1365</v>
      </c>
      <c r="F19" s="472">
        <v>1270.4000000000001</v>
      </c>
      <c r="G19" s="471">
        <v>0</v>
      </c>
      <c r="H19" s="471">
        <v>0</v>
      </c>
      <c r="I19" s="471">
        <v>8</v>
      </c>
      <c r="J19" s="471">
        <v>0</v>
      </c>
      <c r="K19" s="471">
        <v>0</v>
      </c>
    </row>
    <row r="20" spans="1:16" ht="15">
      <c r="A20" s="19">
        <v>11</v>
      </c>
      <c r="B20" s="474" t="s">
        <v>839</v>
      </c>
      <c r="C20" s="471">
        <v>1232</v>
      </c>
      <c r="D20" s="472">
        <v>1139.94</v>
      </c>
      <c r="E20" s="471">
        <v>1230</v>
      </c>
      <c r="F20" s="472">
        <v>1139.94</v>
      </c>
      <c r="G20" s="471">
        <v>0</v>
      </c>
      <c r="H20" s="471">
        <v>0</v>
      </c>
      <c r="I20" s="471">
        <v>2</v>
      </c>
      <c r="J20" s="471">
        <v>0</v>
      </c>
      <c r="K20" s="471">
        <v>0</v>
      </c>
    </row>
    <row r="21" spans="1:16" ht="15">
      <c r="A21" s="19">
        <v>12</v>
      </c>
      <c r="B21" s="474" t="s">
        <v>998</v>
      </c>
      <c r="C21" s="471">
        <v>1569</v>
      </c>
      <c r="D21" s="472">
        <v>1451.76</v>
      </c>
      <c r="E21" s="471">
        <v>1566</v>
      </c>
      <c r="F21" s="472">
        <v>1451.76</v>
      </c>
      <c r="G21" s="471">
        <v>0</v>
      </c>
      <c r="H21" s="471">
        <v>0</v>
      </c>
      <c r="I21" s="471">
        <v>3</v>
      </c>
      <c r="J21" s="471">
        <v>0</v>
      </c>
      <c r="K21" s="471">
        <v>0</v>
      </c>
    </row>
    <row r="22" spans="1:16" ht="15">
      <c r="A22" s="19">
        <v>13</v>
      </c>
      <c r="B22" s="474" t="s">
        <v>999</v>
      </c>
      <c r="C22" s="471">
        <v>1561</v>
      </c>
      <c r="D22" s="472">
        <v>1444.36</v>
      </c>
      <c r="E22" s="471">
        <v>1561</v>
      </c>
      <c r="F22" s="472">
        <v>1444.36</v>
      </c>
      <c r="G22" s="471">
        <v>0</v>
      </c>
      <c r="H22" s="471">
        <v>0</v>
      </c>
      <c r="I22" s="471">
        <v>0</v>
      </c>
      <c r="J22" s="471">
        <v>0</v>
      </c>
      <c r="K22" s="471">
        <v>0</v>
      </c>
    </row>
    <row r="23" spans="1:16" ht="15">
      <c r="A23" s="19">
        <v>14</v>
      </c>
      <c r="B23" s="474" t="s">
        <v>841</v>
      </c>
      <c r="C23" s="471">
        <v>996</v>
      </c>
      <c r="D23" s="472">
        <v>921.58</v>
      </c>
      <c r="E23" s="471">
        <v>995</v>
      </c>
      <c r="F23" s="472">
        <v>921.58</v>
      </c>
      <c r="G23" s="471">
        <v>0</v>
      </c>
      <c r="H23" s="471">
        <v>0</v>
      </c>
      <c r="I23" s="471">
        <v>1</v>
      </c>
      <c r="J23" s="471">
        <v>0</v>
      </c>
      <c r="K23" s="471">
        <v>0</v>
      </c>
    </row>
    <row r="24" spans="1:16" s="13" customFormat="1" ht="15">
      <c r="A24" s="19">
        <v>15</v>
      </c>
      <c r="B24" s="474" t="s">
        <v>1000</v>
      </c>
      <c r="C24" s="471">
        <v>280</v>
      </c>
      <c r="D24" s="472">
        <v>259.08</v>
      </c>
      <c r="E24" s="471">
        <v>269</v>
      </c>
      <c r="F24" s="472">
        <v>259.08</v>
      </c>
      <c r="G24" s="471">
        <v>0</v>
      </c>
      <c r="H24" s="471">
        <v>0</v>
      </c>
      <c r="I24" s="471">
        <v>11</v>
      </c>
      <c r="J24" s="471">
        <v>0</v>
      </c>
      <c r="K24" s="471">
        <v>0</v>
      </c>
    </row>
    <row r="25" spans="1:16" s="13" customFormat="1" ht="15">
      <c r="A25" s="19">
        <v>16</v>
      </c>
      <c r="B25" s="474" t="s">
        <v>849</v>
      </c>
      <c r="C25" s="471">
        <v>226</v>
      </c>
      <c r="D25" s="472">
        <v>209.11</v>
      </c>
      <c r="E25" s="471">
        <v>226</v>
      </c>
      <c r="F25" s="472">
        <v>209.11</v>
      </c>
      <c r="G25" s="471">
        <v>0</v>
      </c>
      <c r="H25" s="471">
        <v>0</v>
      </c>
      <c r="I25" s="471">
        <v>0</v>
      </c>
      <c r="J25" s="471">
        <v>0</v>
      </c>
      <c r="K25" s="471">
        <v>0</v>
      </c>
    </row>
    <row r="26" spans="1:16" s="13" customFormat="1" ht="15">
      <c r="A26" s="19">
        <v>17</v>
      </c>
      <c r="B26" s="474" t="s">
        <v>1001</v>
      </c>
      <c r="C26" s="471">
        <v>1650</v>
      </c>
      <c r="D26" s="472">
        <v>1526.71</v>
      </c>
      <c r="E26" s="471">
        <v>1650</v>
      </c>
      <c r="F26" s="472">
        <v>1526.71</v>
      </c>
      <c r="G26" s="471">
        <v>0</v>
      </c>
      <c r="H26" s="471">
        <v>0</v>
      </c>
      <c r="I26" s="471">
        <v>0</v>
      </c>
      <c r="J26" s="471">
        <v>0</v>
      </c>
      <c r="K26" s="471">
        <v>0</v>
      </c>
    </row>
    <row r="27" spans="1:16" s="13" customFormat="1" ht="15">
      <c r="A27" s="266">
        <v>18</v>
      </c>
      <c r="B27" s="474" t="s">
        <v>842</v>
      </c>
      <c r="C27" s="471">
        <v>669</v>
      </c>
      <c r="D27" s="472">
        <v>619.01</v>
      </c>
      <c r="E27" s="471">
        <v>669</v>
      </c>
      <c r="F27" s="472">
        <v>619.01</v>
      </c>
      <c r="G27" s="471">
        <v>0</v>
      </c>
      <c r="H27" s="471">
        <v>0</v>
      </c>
      <c r="I27" s="471">
        <v>0</v>
      </c>
      <c r="J27" s="471">
        <v>0</v>
      </c>
      <c r="K27" s="471">
        <v>0</v>
      </c>
    </row>
    <row r="28" spans="1:16" s="13" customFormat="1" ht="15">
      <c r="A28" s="266">
        <v>19</v>
      </c>
      <c r="B28" s="474" t="s">
        <v>840</v>
      </c>
      <c r="C28" s="471">
        <v>387</v>
      </c>
      <c r="D28" s="472">
        <v>358.08</v>
      </c>
      <c r="E28" s="471">
        <v>276</v>
      </c>
      <c r="F28" s="472">
        <v>358.08</v>
      </c>
      <c r="G28" s="471">
        <v>0</v>
      </c>
      <c r="H28" s="471">
        <v>0</v>
      </c>
      <c r="I28" s="471">
        <v>111</v>
      </c>
      <c r="J28" s="471">
        <v>0</v>
      </c>
      <c r="K28" s="471">
        <v>0</v>
      </c>
    </row>
    <row r="29" spans="1:16" s="13" customFormat="1" ht="15">
      <c r="A29" s="266">
        <v>20</v>
      </c>
      <c r="B29" s="474" t="s">
        <v>843</v>
      </c>
      <c r="C29" s="471">
        <v>1251</v>
      </c>
      <c r="D29" s="472">
        <v>1157.52</v>
      </c>
      <c r="E29" s="471">
        <v>1251</v>
      </c>
      <c r="F29" s="472">
        <v>1157.52</v>
      </c>
      <c r="G29" s="471">
        <v>0</v>
      </c>
      <c r="H29" s="471">
        <v>0</v>
      </c>
      <c r="I29" s="471">
        <v>0</v>
      </c>
      <c r="J29" s="471">
        <v>0</v>
      </c>
      <c r="K29" s="471">
        <v>0</v>
      </c>
    </row>
    <row r="30" spans="1:16" s="13" customFormat="1" ht="15">
      <c r="A30" s="266">
        <v>21</v>
      </c>
      <c r="B30" s="474" t="s">
        <v>844</v>
      </c>
      <c r="C30" s="471">
        <v>1867</v>
      </c>
      <c r="D30" s="472">
        <v>1727.49</v>
      </c>
      <c r="E30" s="471">
        <v>1867</v>
      </c>
      <c r="F30" s="472">
        <v>1727.49</v>
      </c>
      <c r="G30" s="471">
        <v>0</v>
      </c>
      <c r="H30" s="471">
        <v>0</v>
      </c>
      <c r="I30" s="471">
        <v>0</v>
      </c>
      <c r="J30" s="471">
        <v>0</v>
      </c>
      <c r="K30" s="471">
        <v>0</v>
      </c>
    </row>
    <row r="31" spans="1:16" s="16" customFormat="1" ht="13.9" customHeight="1">
      <c r="A31" s="266">
        <v>22</v>
      </c>
      <c r="B31" s="474" t="s">
        <v>845</v>
      </c>
      <c r="C31" s="471">
        <v>646</v>
      </c>
      <c r="D31" s="472">
        <v>597.73</v>
      </c>
      <c r="E31" s="471">
        <v>645</v>
      </c>
      <c r="F31" s="472">
        <v>597.73</v>
      </c>
      <c r="G31" s="471">
        <v>1</v>
      </c>
      <c r="H31" s="471">
        <v>0</v>
      </c>
      <c r="I31" s="471">
        <v>0</v>
      </c>
      <c r="J31" s="471">
        <v>0</v>
      </c>
      <c r="K31" s="471">
        <v>0</v>
      </c>
      <c r="L31" s="76"/>
      <c r="M31" s="76"/>
      <c r="N31" s="76"/>
      <c r="O31" s="76"/>
      <c r="P31" s="76"/>
    </row>
    <row r="32" spans="1:16" s="16" customFormat="1" ht="13.15" customHeight="1">
      <c r="A32" s="266">
        <v>23</v>
      </c>
      <c r="B32" s="474" t="s">
        <v>846</v>
      </c>
      <c r="C32" s="471">
        <v>696</v>
      </c>
      <c r="D32" s="472">
        <v>643.99</v>
      </c>
      <c r="E32" s="471">
        <v>696</v>
      </c>
      <c r="F32" s="472">
        <v>643.99</v>
      </c>
      <c r="G32" s="471">
        <v>0</v>
      </c>
      <c r="H32" s="471">
        <v>0</v>
      </c>
      <c r="I32" s="471">
        <v>0</v>
      </c>
      <c r="J32" s="471">
        <v>0</v>
      </c>
      <c r="K32" s="471">
        <v>0</v>
      </c>
      <c r="L32" s="76"/>
      <c r="M32" s="76"/>
      <c r="N32" s="76"/>
      <c r="O32" s="76"/>
      <c r="P32" s="76"/>
    </row>
    <row r="33" spans="1:16" s="16" customFormat="1" ht="13.15" customHeight="1">
      <c r="A33" s="266">
        <v>24</v>
      </c>
      <c r="B33" s="474" t="s">
        <v>850</v>
      </c>
      <c r="C33" s="471">
        <v>239</v>
      </c>
      <c r="D33" s="472">
        <v>221.14</v>
      </c>
      <c r="E33" s="471">
        <v>237</v>
      </c>
      <c r="F33" s="472">
        <v>221.14</v>
      </c>
      <c r="G33" s="471">
        <v>0</v>
      </c>
      <c r="H33" s="471">
        <v>0</v>
      </c>
      <c r="I33" s="471">
        <v>2</v>
      </c>
      <c r="J33" s="471">
        <v>0</v>
      </c>
      <c r="K33" s="471">
        <v>0</v>
      </c>
      <c r="L33" s="76"/>
      <c r="M33" s="76"/>
      <c r="N33" s="76"/>
      <c r="O33" s="76"/>
      <c r="P33" s="76"/>
    </row>
    <row r="34" spans="1:16" s="16" customFormat="1" ht="15">
      <c r="A34" s="266">
        <v>25</v>
      </c>
      <c r="B34" s="474" t="s">
        <v>847</v>
      </c>
      <c r="C34" s="471">
        <v>1521</v>
      </c>
      <c r="D34" s="472">
        <v>1407.35</v>
      </c>
      <c r="E34" s="471">
        <v>1520</v>
      </c>
      <c r="F34" s="472">
        <v>1407.35</v>
      </c>
      <c r="G34" s="471">
        <v>0</v>
      </c>
      <c r="H34" s="471">
        <v>0</v>
      </c>
      <c r="I34" s="471">
        <v>1</v>
      </c>
      <c r="J34" s="471">
        <v>0</v>
      </c>
      <c r="K34" s="471">
        <v>0</v>
      </c>
    </row>
    <row r="35" spans="1:16" s="16" customFormat="1" ht="15">
      <c r="A35" s="266">
        <v>26</v>
      </c>
      <c r="B35" s="474" t="s">
        <v>848</v>
      </c>
      <c r="C35" s="471">
        <v>528</v>
      </c>
      <c r="D35" s="472">
        <v>488.55</v>
      </c>
      <c r="E35" s="471">
        <v>528</v>
      </c>
      <c r="F35" s="472">
        <v>488.55</v>
      </c>
      <c r="G35" s="471">
        <v>0</v>
      </c>
      <c r="H35" s="471">
        <v>0</v>
      </c>
      <c r="I35" s="471">
        <v>0</v>
      </c>
      <c r="J35" s="471">
        <v>0</v>
      </c>
      <c r="K35" s="471">
        <v>0</v>
      </c>
    </row>
    <row r="36" spans="1:16" ht="15">
      <c r="A36" s="266">
        <v>27</v>
      </c>
      <c r="B36" s="474" t="s">
        <v>851</v>
      </c>
      <c r="C36" s="471">
        <v>68</v>
      </c>
      <c r="D36" s="472">
        <v>62.92</v>
      </c>
      <c r="E36" s="471">
        <v>32</v>
      </c>
      <c r="F36" s="472">
        <v>62.92</v>
      </c>
      <c r="G36" s="471">
        <v>0</v>
      </c>
      <c r="H36" s="471">
        <v>0</v>
      </c>
      <c r="I36" s="471">
        <v>36</v>
      </c>
      <c r="J36" s="471">
        <v>0</v>
      </c>
      <c r="K36" s="471">
        <v>0</v>
      </c>
    </row>
    <row r="37" spans="1:16" ht="15">
      <c r="A37" s="266">
        <v>28</v>
      </c>
      <c r="B37" s="474" t="s">
        <v>852</v>
      </c>
      <c r="C37" s="471">
        <v>76</v>
      </c>
      <c r="D37" s="472">
        <v>70.319999999999993</v>
      </c>
      <c r="E37" s="471">
        <v>13</v>
      </c>
      <c r="F37" s="472">
        <v>70.319999999999993</v>
      </c>
      <c r="G37" s="471">
        <v>0</v>
      </c>
      <c r="H37" s="471">
        <v>0</v>
      </c>
      <c r="I37" s="471">
        <v>63</v>
      </c>
      <c r="J37" s="471">
        <v>0</v>
      </c>
      <c r="K37" s="471">
        <v>0</v>
      </c>
    </row>
    <row r="38" spans="1:16" ht="15">
      <c r="A38" s="266">
        <v>29</v>
      </c>
      <c r="B38" s="474" t="s">
        <v>853</v>
      </c>
      <c r="C38" s="471">
        <v>25</v>
      </c>
      <c r="D38" s="472">
        <v>23.13</v>
      </c>
      <c r="E38" s="471">
        <v>8</v>
      </c>
      <c r="F38" s="472">
        <v>23.13</v>
      </c>
      <c r="G38" s="471">
        <v>0</v>
      </c>
      <c r="H38" s="471">
        <v>0</v>
      </c>
      <c r="I38" s="471">
        <v>17</v>
      </c>
      <c r="J38" s="471">
        <v>0</v>
      </c>
      <c r="K38" s="471">
        <v>0</v>
      </c>
    </row>
    <row r="39" spans="1:16" ht="15">
      <c r="A39" s="266">
        <v>30</v>
      </c>
      <c r="B39" s="474" t="s">
        <v>854</v>
      </c>
      <c r="C39" s="471">
        <v>89</v>
      </c>
      <c r="D39" s="472">
        <v>82.35</v>
      </c>
      <c r="E39" s="471">
        <v>4</v>
      </c>
      <c r="F39" s="472">
        <v>82.35</v>
      </c>
      <c r="G39" s="471">
        <v>0</v>
      </c>
      <c r="H39" s="471">
        <v>0</v>
      </c>
      <c r="I39" s="471">
        <v>85</v>
      </c>
      <c r="J39" s="471">
        <v>0</v>
      </c>
      <c r="K39" s="471">
        <v>0</v>
      </c>
    </row>
    <row r="40" spans="1:16" ht="15">
      <c r="A40" s="266">
        <v>31</v>
      </c>
      <c r="B40" s="474" t="s">
        <v>855</v>
      </c>
      <c r="C40" s="471">
        <v>92</v>
      </c>
      <c r="D40" s="472">
        <v>85.13</v>
      </c>
      <c r="E40" s="471">
        <v>6</v>
      </c>
      <c r="F40" s="472">
        <v>85.13</v>
      </c>
      <c r="G40" s="471">
        <v>0</v>
      </c>
      <c r="H40" s="471">
        <v>0</v>
      </c>
      <c r="I40" s="471">
        <v>86</v>
      </c>
      <c r="J40" s="471">
        <v>0</v>
      </c>
      <c r="K40" s="471">
        <v>0</v>
      </c>
    </row>
    <row r="41" spans="1:16" ht="15">
      <c r="A41" s="266">
        <v>32</v>
      </c>
      <c r="B41" s="474" t="s">
        <v>856</v>
      </c>
      <c r="C41" s="471">
        <v>97</v>
      </c>
      <c r="D41" s="472">
        <v>89.75</v>
      </c>
      <c r="E41" s="471">
        <v>23</v>
      </c>
      <c r="F41" s="472">
        <v>89.75</v>
      </c>
      <c r="G41" s="471">
        <v>0</v>
      </c>
      <c r="H41" s="471">
        <v>0</v>
      </c>
      <c r="I41" s="471">
        <v>74</v>
      </c>
      <c r="J41" s="471">
        <v>0</v>
      </c>
      <c r="K41" s="471">
        <v>0</v>
      </c>
    </row>
    <row r="42" spans="1:16" ht="15">
      <c r="A42" s="266">
        <v>33</v>
      </c>
      <c r="B42" s="474" t="s">
        <v>857</v>
      </c>
      <c r="C42" s="471">
        <v>84</v>
      </c>
      <c r="D42" s="472">
        <v>77.72</v>
      </c>
      <c r="E42" s="471">
        <v>22</v>
      </c>
      <c r="F42" s="472">
        <v>77.72</v>
      </c>
      <c r="G42" s="471">
        <v>0</v>
      </c>
      <c r="H42" s="471">
        <v>0</v>
      </c>
      <c r="I42" s="471">
        <v>62</v>
      </c>
      <c r="J42" s="471">
        <v>0</v>
      </c>
      <c r="K42" s="471">
        <v>0</v>
      </c>
    </row>
    <row r="43" spans="1:16" s="43" customFormat="1" ht="14.25">
      <c r="A43" s="1350" t="s">
        <v>18</v>
      </c>
      <c r="B43" s="1351"/>
      <c r="C43" s="475">
        <f>SUM(C10:C42)</f>
        <v>25077</v>
      </c>
      <c r="D43" s="476">
        <f>SUM(D10:D42)</f>
        <v>23203.15</v>
      </c>
      <c r="E43" s="475">
        <f>SUM(E10:E42)</f>
        <v>24303</v>
      </c>
      <c r="F43" s="477">
        <f>SUM(F10:F42)</f>
        <v>23203.15</v>
      </c>
      <c r="G43" s="477">
        <f t="shared" ref="G43:K43" si="0">SUM(G10:G42)</f>
        <v>7</v>
      </c>
      <c r="H43" s="477">
        <f t="shared" si="0"/>
        <v>0</v>
      </c>
      <c r="I43" s="477">
        <f t="shared" si="0"/>
        <v>767</v>
      </c>
      <c r="J43" s="477">
        <f t="shared" si="0"/>
        <v>0</v>
      </c>
      <c r="K43" s="477">
        <f t="shared" si="0"/>
        <v>0</v>
      </c>
    </row>
    <row r="44" spans="1:16" s="43" customFormat="1" ht="14.25">
      <c r="A44" s="219"/>
      <c r="B44" s="219"/>
      <c r="C44" s="967"/>
      <c r="D44" s="965"/>
      <c r="E44" s="967"/>
      <c r="F44" s="966"/>
      <c r="G44" s="966"/>
      <c r="H44" s="966"/>
      <c r="I44" s="966"/>
      <c r="J44" s="966"/>
      <c r="K44" s="966"/>
    </row>
    <row r="45" spans="1:16" s="43" customFormat="1" ht="14.25">
      <c r="A45" s="219"/>
      <c r="B45" s="219"/>
      <c r="C45" s="967"/>
      <c r="D45" s="965"/>
      <c r="E45" s="967"/>
      <c r="F45" s="966"/>
      <c r="G45" s="966"/>
      <c r="H45" s="966"/>
      <c r="I45" s="966"/>
      <c r="J45" s="966"/>
      <c r="K45" s="966"/>
    </row>
    <row r="46" spans="1:16">
      <c r="A46" s="1346" t="s">
        <v>1101</v>
      </c>
      <c r="B46" s="1347"/>
      <c r="C46" s="1347"/>
      <c r="D46" s="1347"/>
      <c r="E46" s="1347"/>
      <c r="F46" s="1347"/>
    </row>
    <row r="47" spans="1:16">
      <c r="A47" s="22"/>
      <c r="B47" s="11"/>
      <c r="C47" s="11"/>
      <c r="D47" s="11"/>
      <c r="E47" s="11"/>
      <c r="F47" s="11"/>
    </row>
    <row r="48" spans="1:16" s="994" customFormat="1" ht="15.75" customHeight="1">
      <c r="A48" s="15" t="s">
        <v>12</v>
      </c>
      <c r="B48" s="15"/>
      <c r="C48" s="15"/>
      <c r="I48" s="1040" t="s">
        <v>1106</v>
      </c>
      <c r="J48" s="1040"/>
      <c r="K48" s="1040"/>
    </row>
    <row r="49" spans="1:15" s="994" customFormat="1" ht="15.6" customHeight="1">
      <c r="I49" s="1040" t="s">
        <v>481</v>
      </c>
      <c r="J49" s="1040"/>
      <c r="K49" s="1040"/>
    </row>
    <row r="50" spans="1:15" s="994" customFormat="1" ht="15.6" customHeight="1">
      <c r="I50" s="1040" t="s">
        <v>1107</v>
      </c>
      <c r="J50" s="1040"/>
      <c r="K50" s="1040"/>
    </row>
    <row r="51" spans="1:15" s="437" customFormat="1">
      <c r="A51" s="995"/>
      <c r="B51" s="995"/>
      <c r="C51" s="995"/>
      <c r="D51" s="995"/>
      <c r="E51" s="995"/>
      <c r="F51" s="619"/>
      <c r="G51" s="619"/>
      <c r="H51" s="619"/>
      <c r="I51" s="619"/>
      <c r="J51" s="619"/>
      <c r="K51" s="619"/>
      <c r="L51" s="619"/>
      <c r="M51" s="610"/>
      <c r="N51" s="610"/>
      <c r="O51" s="610"/>
    </row>
    <row r="52" spans="1:15" s="994" customFormat="1" ht="13.15" customHeight="1">
      <c r="A52" s="15"/>
    </row>
  </sheetData>
  <mergeCells count="21">
    <mergeCell ref="A5:B5"/>
    <mergeCell ref="A4:K4"/>
    <mergeCell ref="B7:B8"/>
    <mergeCell ref="D1:E1"/>
    <mergeCell ref="A7:A8"/>
    <mergeCell ref="E7:F7"/>
    <mergeCell ref="C7:D7"/>
    <mergeCell ref="I1:J1"/>
    <mergeCell ref="G7:H7"/>
    <mergeCell ref="I5:K5"/>
    <mergeCell ref="A2:J2"/>
    <mergeCell ref="K7:K8"/>
    <mergeCell ref="C6:J6"/>
    <mergeCell ref="E5:H5"/>
    <mergeCell ref="A3:J3"/>
    <mergeCell ref="I7:J7"/>
    <mergeCell ref="I48:K48"/>
    <mergeCell ref="I49:K49"/>
    <mergeCell ref="I50:K50"/>
    <mergeCell ref="A46:F46"/>
    <mergeCell ref="A43:B43"/>
  </mergeCells>
  <phoneticPr fontId="0" type="noConversion"/>
  <printOptions horizontalCentered="1"/>
  <pageMargins left="0.70866141732283472" right="0.70866141732283472" top="0.63" bottom="0" header="0.79" footer="0.31496062992125984"/>
  <pageSetup paperSize="9" scale="81"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S54"/>
  <sheetViews>
    <sheetView topLeftCell="A40" zoomScaleSheetLayoutView="90" workbookViewId="0">
      <selection activeCell="E13" sqref="E13"/>
    </sheetView>
  </sheetViews>
  <sheetFormatPr defaultRowHeight="12.75"/>
  <cols>
    <col min="2" max="2" width="20.85546875" customWidth="1"/>
    <col min="4" max="4" width="15.7109375" customWidth="1"/>
    <col min="8" max="8" width="14.140625" customWidth="1"/>
    <col min="9" max="9" width="11" customWidth="1"/>
    <col min="10" max="10" width="15.5703125" customWidth="1"/>
    <col min="11" max="11" width="11.5703125" customWidth="1"/>
  </cols>
  <sheetData>
    <row r="1" spans="1:19" ht="15">
      <c r="A1" s="406"/>
      <c r="B1" s="406"/>
      <c r="C1" s="406"/>
      <c r="D1" s="1361"/>
      <c r="E1" s="1361"/>
      <c r="F1" s="406"/>
      <c r="G1" s="406"/>
      <c r="H1" s="407"/>
      <c r="I1" s="406"/>
      <c r="J1" s="1359" t="s">
        <v>69</v>
      </c>
      <c r="K1" s="1359"/>
      <c r="L1" s="406"/>
      <c r="M1" s="406"/>
      <c r="N1" s="406"/>
      <c r="O1" s="406"/>
      <c r="P1" s="406"/>
      <c r="Q1" s="406"/>
      <c r="R1" s="406"/>
      <c r="S1" s="406"/>
    </row>
    <row r="2" spans="1:19" ht="15">
      <c r="A2" s="1358" t="s">
        <v>0</v>
      </c>
      <c r="B2" s="1358"/>
      <c r="C2" s="1358"/>
      <c r="D2" s="1358"/>
      <c r="E2" s="1358"/>
      <c r="F2" s="1358"/>
      <c r="G2" s="1358"/>
      <c r="H2" s="1358"/>
      <c r="I2" s="1358"/>
      <c r="J2" s="1358"/>
      <c r="K2" s="406"/>
      <c r="L2" s="406"/>
      <c r="M2" s="406"/>
      <c r="N2" s="406"/>
      <c r="O2" s="406"/>
      <c r="P2" s="406"/>
      <c r="Q2" s="406"/>
      <c r="R2" s="406"/>
      <c r="S2" s="406"/>
    </row>
    <row r="3" spans="1:19" ht="18">
      <c r="A3" s="1362" t="s">
        <v>636</v>
      </c>
      <c r="B3" s="1362"/>
      <c r="C3" s="1362"/>
      <c r="D3" s="1362"/>
      <c r="E3" s="1362"/>
      <c r="F3" s="1362"/>
      <c r="G3" s="1362"/>
      <c r="H3" s="1362"/>
      <c r="I3" s="1362"/>
      <c r="J3" s="1362"/>
      <c r="K3" s="406"/>
      <c r="L3" s="406"/>
      <c r="M3" s="406"/>
      <c r="N3" s="406"/>
      <c r="O3" s="406"/>
      <c r="P3" s="406"/>
      <c r="Q3" s="406"/>
      <c r="R3" s="406"/>
      <c r="S3" s="406"/>
    </row>
    <row r="4" spans="1:19">
      <c r="A4" s="406"/>
      <c r="B4" s="406"/>
      <c r="C4" s="406"/>
      <c r="D4" s="406"/>
      <c r="E4" s="406"/>
      <c r="F4" s="406"/>
      <c r="G4" s="406"/>
      <c r="H4" s="406"/>
      <c r="I4" s="406"/>
      <c r="J4" s="406"/>
      <c r="K4" s="406"/>
      <c r="L4" s="406"/>
      <c r="M4" s="406"/>
      <c r="N4" s="406"/>
      <c r="O4" s="406"/>
      <c r="P4" s="406"/>
      <c r="Q4" s="406"/>
      <c r="R4" s="406"/>
      <c r="S4" s="406"/>
    </row>
    <row r="5" spans="1:19" ht="15">
      <c r="A5" s="1365" t="s">
        <v>438</v>
      </c>
      <c r="B5" s="1365"/>
      <c r="C5" s="1365"/>
      <c r="D5" s="1365"/>
      <c r="E5" s="1365"/>
      <c r="F5" s="1365"/>
      <c r="G5" s="1365"/>
      <c r="H5" s="1365"/>
      <c r="I5" s="1365"/>
      <c r="J5" s="1365"/>
      <c r="K5" s="1365"/>
      <c r="L5" s="1365"/>
      <c r="M5" s="408"/>
      <c r="N5" s="408"/>
      <c r="O5" s="408"/>
      <c r="P5" s="408"/>
      <c r="Q5" s="408"/>
      <c r="R5" s="408"/>
      <c r="S5" s="408"/>
    </row>
    <row r="6" spans="1:19" ht="15.75">
      <c r="A6" s="409"/>
      <c r="B6" s="409"/>
      <c r="C6" s="409"/>
      <c r="D6" s="409"/>
      <c r="E6" s="409"/>
      <c r="F6" s="409"/>
      <c r="G6" s="409"/>
      <c r="H6" s="409"/>
      <c r="I6" s="409"/>
      <c r="J6" s="409"/>
      <c r="K6" s="408"/>
      <c r="L6" s="408"/>
      <c r="M6" s="408"/>
      <c r="N6" s="408"/>
      <c r="O6" s="408"/>
      <c r="P6" s="408"/>
      <c r="Q6" s="408"/>
      <c r="R6" s="408"/>
      <c r="S6" s="408"/>
    </row>
    <row r="7" spans="1:19">
      <c r="A7" s="1356" t="s">
        <v>905</v>
      </c>
      <c r="B7" s="1356"/>
      <c r="C7" s="408"/>
      <c r="D7" s="408"/>
      <c r="E7" s="408"/>
      <c r="F7" s="408"/>
      <c r="G7" s="408"/>
      <c r="H7" s="408"/>
      <c r="I7" s="1357" t="s">
        <v>930</v>
      </c>
      <c r="J7" s="1357"/>
      <c r="K7" s="1357"/>
      <c r="L7" s="408"/>
      <c r="M7" s="408"/>
      <c r="N7" s="408"/>
      <c r="O7" s="408"/>
      <c r="P7" s="408"/>
      <c r="Q7" s="408"/>
      <c r="R7" s="408"/>
      <c r="S7" s="408"/>
    </row>
    <row r="8" spans="1:19" ht="15.75">
      <c r="A8" s="410"/>
      <c r="B8" s="410"/>
      <c r="C8" s="1358"/>
      <c r="D8" s="1358"/>
      <c r="E8" s="1358"/>
      <c r="F8" s="1358"/>
      <c r="G8" s="1358"/>
      <c r="H8" s="1358"/>
      <c r="I8" s="1358"/>
      <c r="J8" s="1358"/>
      <c r="K8" s="410"/>
      <c r="L8" s="410"/>
      <c r="M8" s="410"/>
      <c r="N8" s="410"/>
      <c r="O8" s="410"/>
      <c r="P8" s="410"/>
      <c r="Q8" s="410"/>
      <c r="R8" s="410"/>
      <c r="S8" s="410"/>
    </row>
    <row r="9" spans="1:19" ht="50.45" customHeight="1">
      <c r="A9" s="1363" t="s">
        <v>25</v>
      </c>
      <c r="B9" s="1363" t="s">
        <v>38</v>
      </c>
      <c r="C9" s="1353" t="s">
        <v>928</v>
      </c>
      <c r="D9" s="1354"/>
      <c r="E9" s="1353" t="s">
        <v>477</v>
      </c>
      <c r="F9" s="1354"/>
      <c r="G9" s="1353" t="s">
        <v>40</v>
      </c>
      <c r="H9" s="1354"/>
      <c r="I9" s="1360" t="s">
        <v>104</v>
      </c>
      <c r="J9" s="1360"/>
      <c r="K9" s="1363" t="s">
        <v>245</v>
      </c>
      <c r="L9" s="412"/>
      <c r="M9" s="412"/>
      <c r="N9" s="412"/>
      <c r="O9" s="412"/>
      <c r="P9" s="412"/>
      <c r="Q9" s="412"/>
      <c r="R9" s="413"/>
      <c r="S9" s="413"/>
    </row>
    <row r="10" spans="1:19" ht="51">
      <c r="A10" s="1364"/>
      <c r="B10" s="1364"/>
      <c r="C10" s="411" t="s">
        <v>41</v>
      </c>
      <c r="D10" s="411" t="s">
        <v>103</v>
      </c>
      <c r="E10" s="411" t="s">
        <v>41</v>
      </c>
      <c r="F10" s="411" t="s">
        <v>103</v>
      </c>
      <c r="G10" s="411" t="s">
        <v>41</v>
      </c>
      <c r="H10" s="411" t="s">
        <v>103</v>
      </c>
      <c r="I10" s="411" t="s">
        <v>136</v>
      </c>
      <c r="J10" s="411" t="s">
        <v>929</v>
      </c>
      <c r="K10" s="1364"/>
      <c r="L10" s="414"/>
      <c r="M10" s="414"/>
      <c r="N10" s="414"/>
      <c r="O10" s="414"/>
      <c r="P10" s="414"/>
      <c r="Q10" s="414"/>
      <c r="R10" s="414"/>
      <c r="S10" s="414"/>
    </row>
    <row r="11" spans="1:19">
      <c r="A11" s="415">
        <v>1</v>
      </c>
      <c r="B11" s="415">
        <v>2</v>
      </c>
      <c r="C11" s="415">
        <v>3</v>
      </c>
      <c r="D11" s="415">
        <v>4</v>
      </c>
      <c r="E11" s="415">
        <v>5</v>
      </c>
      <c r="F11" s="415">
        <v>6</v>
      </c>
      <c r="G11" s="415">
        <v>7</v>
      </c>
      <c r="H11" s="415">
        <v>8</v>
      </c>
      <c r="I11" s="415">
        <v>9</v>
      </c>
      <c r="J11" s="415">
        <v>10</v>
      </c>
      <c r="K11" s="415">
        <v>11</v>
      </c>
      <c r="L11" s="412"/>
      <c r="M11" s="412"/>
      <c r="N11" s="412"/>
      <c r="O11" s="412"/>
      <c r="P11" s="412"/>
      <c r="Q11" s="412"/>
      <c r="R11" s="412"/>
      <c r="S11" s="412"/>
    </row>
    <row r="12" spans="1:19" ht="14.25">
      <c r="A12" s="938">
        <v>1</v>
      </c>
      <c r="B12" s="943" t="s">
        <v>825</v>
      </c>
      <c r="C12" s="937">
        <v>1355</v>
      </c>
      <c r="D12" s="945">
        <v>46.914505143211315</v>
      </c>
      <c r="E12" s="937">
        <v>1355</v>
      </c>
      <c r="F12" s="945">
        <v>46.914505143211315</v>
      </c>
      <c r="G12" s="937">
        <v>0</v>
      </c>
      <c r="H12" s="945">
        <v>0</v>
      </c>
      <c r="I12" s="937">
        <v>0</v>
      </c>
      <c r="J12" s="945">
        <v>0</v>
      </c>
      <c r="K12" s="937">
        <v>0</v>
      </c>
      <c r="L12" s="947"/>
      <c r="M12" s="936"/>
      <c r="N12" s="936"/>
      <c r="O12" s="936"/>
      <c r="P12" s="936"/>
      <c r="Q12" s="936"/>
      <c r="R12" s="936"/>
      <c r="S12" s="936"/>
    </row>
    <row r="13" spans="1:19" ht="14.25">
      <c r="A13" s="938">
        <v>2</v>
      </c>
      <c r="B13" s="943" t="s">
        <v>826</v>
      </c>
      <c r="C13" s="937">
        <v>802</v>
      </c>
      <c r="D13" s="945">
        <v>44.413470541258924</v>
      </c>
      <c r="E13" s="937">
        <v>802</v>
      </c>
      <c r="F13" s="945">
        <v>44.413470541258924</v>
      </c>
      <c r="G13" s="937">
        <v>0</v>
      </c>
      <c r="H13" s="945">
        <v>0</v>
      </c>
      <c r="I13" s="937">
        <v>0</v>
      </c>
      <c r="J13" s="945">
        <v>0</v>
      </c>
      <c r="K13" s="937">
        <v>0</v>
      </c>
      <c r="L13" s="947"/>
      <c r="M13" s="936"/>
      <c r="N13" s="936"/>
      <c r="O13" s="936"/>
      <c r="P13" s="936"/>
      <c r="Q13" s="936"/>
      <c r="R13" s="936"/>
      <c r="S13" s="936"/>
    </row>
    <row r="14" spans="1:19" ht="14.25">
      <c r="A14" s="938">
        <v>3</v>
      </c>
      <c r="B14" s="943" t="s">
        <v>827</v>
      </c>
      <c r="C14" s="937">
        <v>1753</v>
      </c>
      <c r="D14" s="945">
        <v>74.439126536109754</v>
      </c>
      <c r="E14" s="937">
        <v>1753</v>
      </c>
      <c r="F14" s="945">
        <v>74.439126536109754</v>
      </c>
      <c r="G14" s="937">
        <v>0</v>
      </c>
      <c r="H14" s="945">
        <v>0</v>
      </c>
      <c r="I14" s="937">
        <v>0</v>
      </c>
      <c r="J14" s="945">
        <v>0</v>
      </c>
      <c r="K14" s="937">
        <v>0</v>
      </c>
      <c r="L14" s="947"/>
      <c r="M14" s="936"/>
      <c r="N14" s="936"/>
      <c r="O14" s="936"/>
      <c r="P14" s="936"/>
      <c r="Q14" s="936"/>
      <c r="R14" s="936"/>
      <c r="S14" s="936"/>
    </row>
    <row r="15" spans="1:19" ht="14.25">
      <c r="A15" s="938">
        <v>4</v>
      </c>
      <c r="B15" s="943" t="s">
        <v>828</v>
      </c>
      <c r="C15" s="937">
        <v>1092</v>
      </c>
      <c r="D15" s="945">
        <v>58.166708857289294</v>
      </c>
      <c r="E15" s="937">
        <v>1092</v>
      </c>
      <c r="F15" s="945">
        <v>58.166708857289294</v>
      </c>
      <c r="G15" s="937">
        <v>0</v>
      </c>
      <c r="H15" s="945">
        <v>0</v>
      </c>
      <c r="I15" s="937">
        <v>0</v>
      </c>
      <c r="J15" s="945">
        <v>0</v>
      </c>
      <c r="K15" s="937">
        <v>0</v>
      </c>
      <c r="L15" s="947"/>
      <c r="M15" s="936"/>
      <c r="N15" s="936"/>
      <c r="O15" s="936"/>
      <c r="P15" s="936"/>
      <c r="Q15" s="936"/>
      <c r="R15" s="936"/>
      <c r="S15" s="936"/>
    </row>
    <row r="16" spans="1:19" ht="14.25">
      <c r="A16" s="938">
        <v>5</v>
      </c>
      <c r="B16" s="943" t="s">
        <v>829</v>
      </c>
      <c r="C16" s="937">
        <v>2572</v>
      </c>
      <c r="D16" s="945">
        <v>125.81417294801957</v>
      </c>
      <c r="E16" s="937">
        <v>2572</v>
      </c>
      <c r="F16" s="945">
        <v>125.81417294801957</v>
      </c>
      <c r="G16" s="937">
        <v>0</v>
      </c>
      <c r="H16" s="945">
        <v>0</v>
      </c>
      <c r="I16" s="937">
        <v>0</v>
      </c>
      <c r="J16" s="945">
        <v>0</v>
      </c>
      <c r="K16" s="937">
        <v>0</v>
      </c>
      <c r="L16" s="947"/>
      <c r="M16" s="936"/>
      <c r="N16" s="936"/>
      <c r="O16" s="936"/>
      <c r="P16" s="936"/>
      <c r="Q16" s="936"/>
      <c r="R16" s="936"/>
      <c r="S16" s="936"/>
    </row>
    <row r="17" spans="1:12" ht="13.9" customHeight="1">
      <c r="A17" s="938">
        <v>6</v>
      </c>
      <c r="B17" s="943" t="s">
        <v>830</v>
      </c>
      <c r="C17" s="937">
        <v>1026</v>
      </c>
      <c r="D17" s="945">
        <v>63.601800326590933</v>
      </c>
      <c r="E17" s="937">
        <v>1026</v>
      </c>
      <c r="F17" s="945">
        <v>63.601800326590933</v>
      </c>
      <c r="G17" s="937">
        <v>0</v>
      </c>
      <c r="H17" s="945">
        <v>0</v>
      </c>
      <c r="I17" s="937">
        <v>0</v>
      </c>
      <c r="J17" s="945">
        <v>0</v>
      </c>
      <c r="K17" s="937">
        <v>0</v>
      </c>
      <c r="L17" s="947"/>
    </row>
    <row r="18" spans="1:12" ht="14.25">
      <c r="A18" s="938">
        <v>7</v>
      </c>
      <c r="B18" s="943" t="s">
        <v>831</v>
      </c>
      <c r="C18" s="937">
        <v>692</v>
      </c>
      <c r="D18" s="945">
        <v>50.504225395425344</v>
      </c>
      <c r="E18" s="937">
        <v>692</v>
      </c>
      <c r="F18" s="945">
        <v>50.504225395425344</v>
      </c>
      <c r="G18" s="937">
        <v>0</v>
      </c>
      <c r="H18" s="945">
        <v>0</v>
      </c>
      <c r="I18" s="937">
        <v>0</v>
      </c>
      <c r="J18" s="945">
        <v>0</v>
      </c>
      <c r="K18" s="937">
        <v>0</v>
      </c>
      <c r="L18" s="947"/>
    </row>
    <row r="19" spans="1:12" ht="14.25">
      <c r="A19" s="938">
        <v>8</v>
      </c>
      <c r="B19" s="943" t="s">
        <v>832</v>
      </c>
      <c r="C19" s="937">
        <v>919</v>
      </c>
      <c r="D19" s="945">
        <v>40.62170592512247</v>
      </c>
      <c r="E19" s="937">
        <v>919</v>
      </c>
      <c r="F19" s="945">
        <v>40.62170592512247</v>
      </c>
      <c r="G19" s="937">
        <v>0</v>
      </c>
      <c r="H19" s="945">
        <v>0</v>
      </c>
      <c r="I19" s="937">
        <v>0</v>
      </c>
      <c r="J19" s="945">
        <v>0</v>
      </c>
      <c r="K19" s="937">
        <v>0</v>
      </c>
      <c r="L19" s="947"/>
    </row>
    <row r="20" spans="1:12" ht="14.25">
      <c r="A20" s="938">
        <v>9</v>
      </c>
      <c r="B20" s="943" t="s">
        <v>833</v>
      </c>
      <c r="C20" s="937">
        <v>1689</v>
      </c>
      <c r="D20" s="945">
        <v>84.469256087821975</v>
      </c>
      <c r="E20" s="937">
        <v>1689</v>
      </c>
      <c r="F20" s="945">
        <v>84.469256087821975</v>
      </c>
      <c r="G20" s="937">
        <v>0</v>
      </c>
      <c r="H20" s="945">
        <v>0</v>
      </c>
      <c r="I20" s="937">
        <v>0</v>
      </c>
      <c r="J20" s="945">
        <v>0</v>
      </c>
      <c r="K20" s="937">
        <v>0</v>
      </c>
      <c r="L20" s="947"/>
    </row>
    <row r="21" spans="1:12" ht="14.25">
      <c r="A21" s="938">
        <v>10</v>
      </c>
      <c r="B21" s="943" t="s">
        <v>834</v>
      </c>
      <c r="C21" s="937">
        <v>379</v>
      </c>
      <c r="D21" s="945">
        <v>16.0635077297162</v>
      </c>
      <c r="E21" s="937">
        <v>379</v>
      </c>
      <c r="F21" s="945">
        <v>16.0635077297162</v>
      </c>
      <c r="G21" s="937">
        <v>0</v>
      </c>
      <c r="H21" s="945">
        <v>0</v>
      </c>
      <c r="I21" s="937">
        <v>0</v>
      </c>
      <c r="J21" s="945">
        <v>0</v>
      </c>
      <c r="K21" s="937">
        <v>0</v>
      </c>
      <c r="L21" s="947"/>
    </row>
    <row r="22" spans="1:12" ht="14.25">
      <c r="A22" s="938">
        <v>11</v>
      </c>
      <c r="B22" s="944" t="s">
        <v>835</v>
      </c>
      <c r="C22" s="937">
        <v>653</v>
      </c>
      <c r="D22" s="945">
        <v>18.501771267149007</v>
      </c>
      <c r="E22" s="937">
        <v>653</v>
      </c>
      <c r="F22" s="945">
        <v>18.501771267149007</v>
      </c>
      <c r="G22" s="937">
        <v>0</v>
      </c>
      <c r="H22" s="945">
        <v>0</v>
      </c>
      <c r="I22" s="937">
        <v>0</v>
      </c>
      <c r="J22" s="945">
        <v>0</v>
      </c>
      <c r="K22" s="937">
        <v>0</v>
      </c>
      <c r="L22" s="947"/>
    </row>
    <row r="23" spans="1:12" ht="14.25">
      <c r="A23" s="938">
        <v>12</v>
      </c>
      <c r="B23" s="944" t="s">
        <v>836</v>
      </c>
      <c r="C23" s="937">
        <v>1266</v>
      </c>
      <c r="D23" s="945">
        <v>65.847827478932501</v>
      </c>
      <c r="E23" s="937">
        <v>1266</v>
      </c>
      <c r="F23" s="945">
        <v>65.847827478932501</v>
      </c>
      <c r="G23" s="937">
        <v>0</v>
      </c>
      <c r="H23" s="945">
        <v>0</v>
      </c>
      <c r="I23" s="937">
        <v>0</v>
      </c>
      <c r="J23" s="945">
        <v>0</v>
      </c>
      <c r="K23" s="937">
        <v>0</v>
      </c>
      <c r="L23" s="947"/>
    </row>
    <row r="24" spans="1:12" ht="14.25">
      <c r="A24" s="938">
        <v>13</v>
      </c>
      <c r="B24" s="944" t="s">
        <v>837</v>
      </c>
      <c r="C24" s="937">
        <v>1651</v>
      </c>
      <c r="D24" s="945">
        <v>93.97318757524107</v>
      </c>
      <c r="E24" s="937">
        <v>1651</v>
      </c>
      <c r="F24" s="945">
        <v>93.97318757524107</v>
      </c>
      <c r="G24" s="937">
        <v>0</v>
      </c>
      <c r="H24" s="945">
        <v>0</v>
      </c>
      <c r="I24" s="937">
        <v>0</v>
      </c>
      <c r="J24" s="945">
        <v>0</v>
      </c>
      <c r="K24" s="937">
        <v>0</v>
      </c>
      <c r="L24" s="947"/>
    </row>
    <row r="25" spans="1:12" ht="14.25">
      <c r="A25" s="938">
        <v>14</v>
      </c>
      <c r="B25" s="944" t="s">
        <v>838</v>
      </c>
      <c r="C25" s="937">
        <v>856</v>
      </c>
      <c r="D25" s="945">
        <v>31.211931034482756</v>
      </c>
      <c r="E25" s="937">
        <v>856</v>
      </c>
      <c r="F25" s="945">
        <v>31.211931034482756</v>
      </c>
      <c r="G25" s="937">
        <v>0</v>
      </c>
      <c r="H25" s="945">
        <v>0</v>
      </c>
      <c r="I25" s="937">
        <v>0</v>
      </c>
      <c r="J25" s="945">
        <v>0</v>
      </c>
      <c r="K25" s="937">
        <v>0</v>
      </c>
      <c r="L25" s="947"/>
    </row>
    <row r="26" spans="1:12" ht="14.25">
      <c r="A26" s="938">
        <v>15</v>
      </c>
      <c r="B26" s="944" t="s">
        <v>839</v>
      </c>
      <c r="C26" s="937">
        <v>642</v>
      </c>
      <c r="D26" s="945">
        <v>27.572190090229686</v>
      </c>
      <c r="E26" s="937">
        <v>642</v>
      </c>
      <c r="F26" s="945">
        <v>27.572190090229686</v>
      </c>
      <c r="G26" s="937">
        <v>0</v>
      </c>
      <c r="H26" s="945">
        <v>0</v>
      </c>
      <c r="I26" s="937">
        <v>0</v>
      </c>
      <c r="J26" s="945">
        <v>0</v>
      </c>
      <c r="K26" s="937">
        <v>0</v>
      </c>
      <c r="L26" s="947"/>
    </row>
    <row r="27" spans="1:12" ht="14.25">
      <c r="A27" s="938">
        <v>16</v>
      </c>
      <c r="B27" s="944" t="s">
        <v>840</v>
      </c>
      <c r="C27" s="937">
        <v>316</v>
      </c>
      <c r="D27" s="945">
        <v>25.583131983265194</v>
      </c>
      <c r="E27" s="937">
        <v>316</v>
      </c>
      <c r="F27" s="945">
        <v>25.583131983265194</v>
      </c>
      <c r="G27" s="937">
        <v>0</v>
      </c>
      <c r="H27" s="945">
        <v>0</v>
      </c>
      <c r="I27" s="937">
        <v>0</v>
      </c>
      <c r="J27" s="945">
        <v>0</v>
      </c>
      <c r="K27" s="937">
        <v>0</v>
      </c>
      <c r="L27" s="947"/>
    </row>
    <row r="28" spans="1:12" ht="14.25">
      <c r="A28" s="938">
        <v>17</v>
      </c>
      <c r="B28" s="944" t="s">
        <v>841</v>
      </c>
      <c r="C28" s="937">
        <v>1052</v>
      </c>
      <c r="D28" s="945">
        <v>62.530769038225451</v>
      </c>
      <c r="E28" s="937">
        <v>1052</v>
      </c>
      <c r="F28" s="945">
        <v>62.530769038225451</v>
      </c>
      <c r="G28" s="937">
        <v>0</v>
      </c>
      <c r="H28" s="945">
        <v>0</v>
      </c>
      <c r="I28" s="937">
        <v>0</v>
      </c>
      <c r="J28" s="945">
        <v>0</v>
      </c>
      <c r="K28" s="937">
        <v>0</v>
      </c>
      <c r="L28" s="947"/>
    </row>
    <row r="29" spans="1:12" ht="14.25">
      <c r="A29" s="938">
        <v>18</v>
      </c>
      <c r="B29" s="944" t="s">
        <v>842</v>
      </c>
      <c r="C29" s="937">
        <v>810</v>
      </c>
      <c r="D29" s="945">
        <v>49.667114402183628</v>
      </c>
      <c r="E29" s="937">
        <v>810</v>
      </c>
      <c r="F29" s="945">
        <v>49.667114402183628</v>
      </c>
      <c r="G29" s="937">
        <v>0</v>
      </c>
      <c r="H29" s="945">
        <v>0</v>
      </c>
      <c r="I29" s="937">
        <v>0</v>
      </c>
      <c r="J29" s="945">
        <v>0</v>
      </c>
      <c r="K29" s="937">
        <v>0</v>
      </c>
      <c r="L29" s="947"/>
    </row>
    <row r="30" spans="1:12" ht="14.25">
      <c r="A30" s="938">
        <v>19</v>
      </c>
      <c r="B30" s="944" t="s">
        <v>843</v>
      </c>
      <c r="C30" s="937">
        <v>815</v>
      </c>
      <c r="D30" s="945">
        <v>46.903225967555457</v>
      </c>
      <c r="E30" s="937">
        <v>815</v>
      </c>
      <c r="F30" s="945">
        <v>46.903225967555457</v>
      </c>
      <c r="G30" s="937">
        <v>0</v>
      </c>
      <c r="H30" s="945">
        <v>0</v>
      </c>
      <c r="I30" s="937">
        <v>0</v>
      </c>
      <c r="J30" s="945">
        <v>0</v>
      </c>
      <c r="K30" s="937">
        <v>0</v>
      </c>
      <c r="L30" s="947"/>
    </row>
    <row r="31" spans="1:12" ht="15.75" customHeight="1">
      <c r="A31" s="938">
        <v>20</v>
      </c>
      <c r="B31" s="944" t="s">
        <v>844</v>
      </c>
      <c r="C31" s="937">
        <v>1443</v>
      </c>
      <c r="D31" s="945">
        <v>79.255334541163549</v>
      </c>
      <c r="E31" s="937">
        <v>1443</v>
      </c>
      <c r="F31" s="945">
        <v>79.255334541163549</v>
      </c>
      <c r="G31" s="937">
        <v>0</v>
      </c>
      <c r="H31" s="945">
        <v>0</v>
      </c>
      <c r="I31" s="937">
        <v>0</v>
      </c>
      <c r="J31" s="945">
        <v>0</v>
      </c>
      <c r="K31" s="937">
        <v>0</v>
      </c>
      <c r="L31" s="947"/>
    </row>
    <row r="32" spans="1:12" ht="13.9" customHeight="1">
      <c r="A32" s="938">
        <v>21</v>
      </c>
      <c r="B32" s="944" t="s">
        <v>845</v>
      </c>
      <c r="C32" s="937">
        <v>1666</v>
      </c>
      <c r="D32" s="945">
        <v>82.966673730884281</v>
      </c>
      <c r="E32" s="937">
        <v>1666</v>
      </c>
      <c r="F32" s="945">
        <v>82.966673730884281</v>
      </c>
      <c r="G32" s="937">
        <v>0</v>
      </c>
      <c r="H32" s="945">
        <v>0</v>
      </c>
      <c r="I32" s="937">
        <v>0</v>
      </c>
      <c r="J32" s="945">
        <v>0</v>
      </c>
      <c r="K32" s="937">
        <v>0</v>
      </c>
      <c r="L32" s="947"/>
    </row>
    <row r="33" spans="1:12" ht="13.15" customHeight="1">
      <c r="A33" s="938">
        <v>22</v>
      </c>
      <c r="B33" s="944" t="s">
        <v>846</v>
      </c>
      <c r="C33" s="937">
        <v>978</v>
      </c>
      <c r="D33" s="945">
        <v>59.085226074829848</v>
      </c>
      <c r="E33" s="937">
        <v>978</v>
      </c>
      <c r="F33" s="945">
        <v>59.085226074829848</v>
      </c>
      <c r="G33" s="937">
        <v>0</v>
      </c>
      <c r="H33" s="945">
        <v>0</v>
      </c>
      <c r="I33" s="937">
        <v>0</v>
      </c>
      <c r="J33" s="945">
        <v>0</v>
      </c>
      <c r="K33" s="937">
        <v>0</v>
      </c>
      <c r="L33" s="947"/>
    </row>
    <row r="34" spans="1:12" ht="13.15" customHeight="1">
      <c r="A34" s="938">
        <v>23</v>
      </c>
      <c r="B34" s="944" t="s">
        <v>847</v>
      </c>
      <c r="C34" s="937">
        <v>1005</v>
      </c>
      <c r="D34" s="945">
        <v>45.068643527182132</v>
      </c>
      <c r="E34" s="937">
        <v>1005</v>
      </c>
      <c r="F34" s="945">
        <v>45.068643527182132</v>
      </c>
      <c r="G34" s="937">
        <v>0</v>
      </c>
      <c r="H34" s="945">
        <v>0</v>
      </c>
      <c r="I34" s="937">
        <v>0</v>
      </c>
      <c r="J34" s="945">
        <v>0</v>
      </c>
      <c r="K34" s="937">
        <v>0</v>
      </c>
      <c r="L34" s="947"/>
    </row>
    <row r="35" spans="1:12" ht="14.25">
      <c r="A35" s="938">
        <v>24</v>
      </c>
      <c r="B35" s="944" t="s">
        <v>848</v>
      </c>
      <c r="C35" s="937">
        <v>997</v>
      </c>
      <c r="D35" s="945">
        <v>34.916404639021657</v>
      </c>
      <c r="E35" s="937">
        <v>997</v>
      </c>
      <c r="F35" s="945">
        <v>34.916404639021657</v>
      </c>
      <c r="G35" s="937">
        <v>0</v>
      </c>
      <c r="H35" s="945">
        <v>0</v>
      </c>
      <c r="I35" s="937">
        <v>0</v>
      </c>
      <c r="J35" s="945">
        <v>0</v>
      </c>
      <c r="K35" s="937">
        <v>0</v>
      </c>
      <c r="L35" s="947"/>
    </row>
    <row r="36" spans="1:12" ht="14.25">
      <c r="A36" s="938">
        <v>25</v>
      </c>
      <c r="B36" s="944" t="s">
        <v>849</v>
      </c>
      <c r="C36" s="937">
        <v>501</v>
      </c>
      <c r="D36" s="945">
        <v>30.301750598948708</v>
      </c>
      <c r="E36" s="937">
        <v>501</v>
      </c>
      <c r="F36" s="945">
        <v>30.301750598948708</v>
      </c>
      <c r="G36" s="937">
        <v>0</v>
      </c>
      <c r="H36" s="945">
        <v>0</v>
      </c>
      <c r="I36" s="937">
        <v>0</v>
      </c>
      <c r="J36" s="945">
        <v>0</v>
      </c>
      <c r="K36" s="937">
        <v>0</v>
      </c>
      <c r="L36" s="947"/>
    </row>
    <row r="37" spans="1:12" ht="14.25">
      <c r="A37" s="938">
        <v>26</v>
      </c>
      <c r="B37" s="944" t="s">
        <v>850</v>
      </c>
      <c r="C37" s="937">
        <v>805</v>
      </c>
      <c r="D37" s="945">
        <v>35.602963157204663</v>
      </c>
      <c r="E37" s="937">
        <v>805</v>
      </c>
      <c r="F37" s="945">
        <v>35.602963157204663</v>
      </c>
      <c r="G37" s="937">
        <v>0</v>
      </c>
      <c r="H37" s="945">
        <v>0</v>
      </c>
      <c r="I37" s="937">
        <v>0</v>
      </c>
      <c r="J37" s="945">
        <v>0</v>
      </c>
      <c r="K37" s="937">
        <v>0</v>
      </c>
      <c r="L37" s="947"/>
    </row>
    <row r="38" spans="1:12">
      <c r="A38" s="909">
        <v>27</v>
      </c>
      <c r="B38" s="849" t="s">
        <v>851</v>
      </c>
      <c r="C38" s="940">
        <v>1070</v>
      </c>
      <c r="D38" s="948">
        <v>52.472686746844346</v>
      </c>
      <c r="E38" s="940">
        <v>1070</v>
      </c>
      <c r="F38" s="945">
        <v>52.472686746844346</v>
      </c>
      <c r="G38" s="939">
        <v>0</v>
      </c>
      <c r="H38" s="942">
        <v>0</v>
      </c>
      <c r="I38" s="940">
        <v>0</v>
      </c>
      <c r="J38" s="942">
        <v>0</v>
      </c>
      <c r="K38" s="940">
        <v>0</v>
      </c>
      <c r="L38" s="947"/>
    </row>
    <row r="39" spans="1:12">
      <c r="A39" s="909">
        <v>28</v>
      </c>
      <c r="B39" s="849" t="s">
        <v>852</v>
      </c>
      <c r="C39" s="940">
        <v>256</v>
      </c>
      <c r="D39" s="948">
        <v>12.554212903917898</v>
      </c>
      <c r="E39" s="940">
        <v>256</v>
      </c>
      <c r="F39" s="945">
        <v>12.554212903917898</v>
      </c>
      <c r="G39" s="939">
        <v>0</v>
      </c>
      <c r="H39" s="942">
        <v>0</v>
      </c>
      <c r="I39" s="940">
        <v>0</v>
      </c>
      <c r="J39" s="942">
        <v>0</v>
      </c>
      <c r="K39" s="940">
        <v>0</v>
      </c>
      <c r="L39" s="947"/>
    </row>
    <row r="40" spans="1:12">
      <c r="A40" s="909">
        <v>29</v>
      </c>
      <c r="B40" s="849" t="s">
        <v>853</v>
      </c>
      <c r="C40" s="940">
        <v>1472</v>
      </c>
      <c r="D40" s="948">
        <v>39.231915324743433</v>
      </c>
      <c r="E40" s="940">
        <v>1472</v>
      </c>
      <c r="F40" s="945">
        <v>39.231915324743433</v>
      </c>
      <c r="G40" s="939">
        <v>0</v>
      </c>
      <c r="H40" s="942">
        <v>0</v>
      </c>
      <c r="I40" s="940">
        <v>0</v>
      </c>
      <c r="J40" s="942">
        <v>0</v>
      </c>
      <c r="K40" s="940">
        <v>0</v>
      </c>
      <c r="L40" s="947"/>
    </row>
    <row r="41" spans="1:12">
      <c r="A41" s="909">
        <v>30</v>
      </c>
      <c r="B41" s="849" t="s">
        <v>854</v>
      </c>
      <c r="C41" s="940">
        <v>611</v>
      </c>
      <c r="D41" s="948">
        <v>29.963375329272797</v>
      </c>
      <c r="E41" s="940">
        <v>611</v>
      </c>
      <c r="F41" s="945">
        <v>29.963375329272797</v>
      </c>
      <c r="G41" s="939">
        <v>0</v>
      </c>
      <c r="H41" s="942">
        <v>0</v>
      </c>
      <c r="I41" s="940">
        <v>0</v>
      </c>
      <c r="J41" s="942">
        <v>0</v>
      </c>
      <c r="K41" s="940">
        <v>0</v>
      </c>
      <c r="L41" s="947"/>
    </row>
    <row r="42" spans="1:12">
      <c r="A42" s="909">
        <v>31</v>
      </c>
      <c r="B42" s="849" t="s">
        <v>855</v>
      </c>
      <c r="C42" s="940">
        <v>685</v>
      </c>
      <c r="D42" s="948">
        <v>33.592327496811571</v>
      </c>
      <c r="E42" s="940">
        <v>685</v>
      </c>
      <c r="F42" s="945">
        <v>33.592327496811571</v>
      </c>
      <c r="G42" s="939">
        <v>0</v>
      </c>
      <c r="H42" s="942">
        <v>0</v>
      </c>
      <c r="I42" s="940">
        <v>0</v>
      </c>
      <c r="J42" s="942">
        <v>0</v>
      </c>
      <c r="K42" s="940">
        <v>0</v>
      </c>
      <c r="L42" s="947"/>
    </row>
    <row r="43" spans="1:12">
      <c r="A43" s="909">
        <v>32</v>
      </c>
      <c r="B43" s="849" t="s">
        <v>856</v>
      </c>
      <c r="C43" s="940">
        <v>1108</v>
      </c>
      <c r="D43" s="948">
        <v>54.336202724769663</v>
      </c>
      <c r="E43" s="940">
        <v>1108</v>
      </c>
      <c r="F43" s="945">
        <v>54.336202724769663</v>
      </c>
      <c r="G43" s="939">
        <v>0</v>
      </c>
      <c r="H43" s="942">
        <v>0</v>
      </c>
      <c r="I43" s="940">
        <v>0</v>
      </c>
      <c r="J43" s="942">
        <v>0</v>
      </c>
      <c r="K43" s="940">
        <v>0</v>
      </c>
      <c r="L43" s="947"/>
    </row>
    <row r="44" spans="1:12">
      <c r="A44" s="909">
        <v>33</v>
      </c>
      <c r="B44" s="849" t="s">
        <v>857</v>
      </c>
      <c r="C44" s="940">
        <v>603</v>
      </c>
      <c r="D44" s="948">
        <v>29.571056176025362</v>
      </c>
      <c r="E44" s="940">
        <v>603</v>
      </c>
      <c r="F44" s="945">
        <v>29.571056176025362</v>
      </c>
      <c r="G44" s="939">
        <v>0</v>
      </c>
      <c r="H44" s="942">
        <v>0</v>
      </c>
      <c r="I44" s="940">
        <v>0</v>
      </c>
      <c r="J44" s="942">
        <v>0</v>
      </c>
      <c r="K44" s="940">
        <v>0</v>
      </c>
      <c r="L44" s="947"/>
    </row>
    <row r="45" spans="1:12" s="359" customFormat="1" ht="14.25">
      <c r="A45" s="876" t="s">
        <v>18</v>
      </c>
      <c r="B45" s="934"/>
      <c r="C45" s="934">
        <v>33540</v>
      </c>
      <c r="D45" s="946">
        <v>1645.7184012994501</v>
      </c>
      <c r="E45" s="941">
        <v>33540</v>
      </c>
      <c r="F45" s="946">
        <v>1645.7184012994501</v>
      </c>
      <c r="G45" s="946">
        <v>0</v>
      </c>
      <c r="H45" s="946">
        <v>0</v>
      </c>
      <c r="I45" s="946">
        <v>0</v>
      </c>
      <c r="J45" s="946">
        <v>0</v>
      </c>
      <c r="K45" s="946">
        <v>0</v>
      </c>
      <c r="L45" s="935"/>
    </row>
    <row r="46" spans="1:12">
      <c r="A46" s="416"/>
      <c r="B46" s="416"/>
      <c r="C46" s="416"/>
      <c r="D46" s="416"/>
      <c r="E46" s="416"/>
      <c r="F46" s="416"/>
      <c r="G46" s="416"/>
      <c r="H46" s="416"/>
      <c r="I46" s="416"/>
      <c r="J46" s="416"/>
      <c r="K46" s="416"/>
      <c r="L46" s="416"/>
    </row>
    <row r="47" spans="1:12">
      <c r="A47" s="417" t="s">
        <v>42</v>
      </c>
      <c r="B47" s="416"/>
      <c r="C47" s="416"/>
      <c r="D47" s="416"/>
      <c r="E47" s="416"/>
      <c r="F47" s="416"/>
      <c r="G47" s="416"/>
      <c r="H47" s="416"/>
      <c r="I47" s="416"/>
      <c r="J47" s="416"/>
      <c r="K47" s="416"/>
      <c r="L47" s="416"/>
    </row>
    <row r="48" spans="1:12" ht="15.75">
      <c r="A48" s="406"/>
      <c r="B48" s="406"/>
      <c r="C48" s="1355"/>
      <c r="D48" s="1355"/>
      <c r="E48" s="1355"/>
      <c r="F48" s="1355"/>
      <c r="G48" s="406"/>
      <c r="H48" s="406"/>
      <c r="I48" s="406"/>
      <c r="J48" s="406"/>
      <c r="K48" s="406"/>
      <c r="L48" s="406"/>
    </row>
    <row r="49" spans="1:16" s="994" customFormat="1" ht="15.75" customHeight="1">
      <c r="A49" s="15" t="s">
        <v>12</v>
      </c>
      <c r="B49" s="15"/>
      <c r="C49" s="15"/>
      <c r="I49" s="1040" t="s">
        <v>1106</v>
      </c>
      <c r="J49" s="1040"/>
      <c r="K49" s="1040"/>
    </row>
    <row r="50" spans="1:16" s="994" customFormat="1" ht="15.6" customHeight="1">
      <c r="I50" s="1040" t="s">
        <v>481</v>
      </c>
      <c r="J50" s="1040"/>
      <c r="K50" s="1040"/>
    </row>
    <row r="51" spans="1:16" s="994" customFormat="1" ht="15.6" customHeight="1">
      <c r="I51" s="1040" t="s">
        <v>1107</v>
      </c>
      <c r="J51" s="1040"/>
      <c r="K51" s="1040"/>
    </row>
    <row r="52" spans="1:16" s="437" customFormat="1">
      <c r="A52" s="995"/>
      <c r="B52" s="995"/>
      <c r="C52" s="995"/>
      <c r="D52" s="995"/>
      <c r="E52" s="995"/>
      <c r="F52" s="619"/>
      <c r="G52" s="619"/>
      <c r="H52" s="619"/>
      <c r="I52" s="619"/>
      <c r="J52" s="619"/>
      <c r="K52" s="619"/>
      <c r="L52" s="619"/>
      <c r="M52" s="610"/>
      <c r="N52" s="610"/>
      <c r="O52" s="610"/>
    </row>
    <row r="53" spans="1:16" s="994" customFormat="1" ht="13.15" customHeight="1">
      <c r="A53" s="15"/>
    </row>
    <row r="54" spans="1:16">
      <c r="A54" s="1352"/>
      <c r="B54" s="1352"/>
      <c r="C54" s="1352"/>
      <c r="D54" s="1352"/>
      <c r="E54" s="1352"/>
      <c r="F54" s="1352"/>
      <c r="G54" s="1352"/>
      <c r="H54" s="1352"/>
      <c r="I54" s="1352"/>
      <c r="J54" s="1352"/>
      <c r="K54" s="406"/>
      <c r="L54" s="406"/>
      <c r="M54" s="406"/>
      <c r="N54" s="406"/>
      <c r="O54" s="406"/>
      <c r="P54" s="406"/>
    </row>
  </sheetData>
  <mergeCells count="20">
    <mergeCell ref="A7:B7"/>
    <mergeCell ref="I7:K7"/>
    <mergeCell ref="C8:J8"/>
    <mergeCell ref="J1:K1"/>
    <mergeCell ref="I9:J9"/>
    <mergeCell ref="D1:E1"/>
    <mergeCell ref="A2:J2"/>
    <mergeCell ref="A3:J3"/>
    <mergeCell ref="K9:K10"/>
    <mergeCell ref="A9:A10"/>
    <mergeCell ref="B9:B10"/>
    <mergeCell ref="E9:F9"/>
    <mergeCell ref="A5:L5"/>
    <mergeCell ref="A54:J54"/>
    <mergeCell ref="G9:H9"/>
    <mergeCell ref="C48:F48"/>
    <mergeCell ref="C9:D9"/>
    <mergeCell ref="I49:K49"/>
    <mergeCell ref="I50:K50"/>
    <mergeCell ref="I51:K51"/>
  </mergeCells>
  <phoneticPr fontId="0" type="noConversion"/>
  <printOptions horizontalCentered="1"/>
  <pageMargins left="0.70866141732283472" right="0.70866141732283472" top="0.63" bottom="0" header="0.79"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S57"/>
  <sheetViews>
    <sheetView topLeftCell="A32" zoomScaleSheetLayoutView="90" workbookViewId="0">
      <selection activeCell="C48" sqref="C48:F48"/>
    </sheetView>
  </sheetViews>
  <sheetFormatPr defaultRowHeight="12.75"/>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 min="12" max="16" width="0" hidden="1" customWidth="1"/>
    <col min="17" max="17" width="10" hidden="1" customWidth="1"/>
    <col min="18" max="23" width="0" hidden="1" customWidth="1"/>
  </cols>
  <sheetData>
    <row r="1" spans="1:19" ht="22.9" customHeight="1">
      <c r="D1" s="1114"/>
      <c r="E1" s="1114"/>
      <c r="H1" s="39">
        <f>5000/5</f>
        <v>1000</v>
      </c>
      <c r="J1" s="1185" t="s">
        <v>478</v>
      </c>
      <c r="K1" s="1185"/>
    </row>
    <row r="2" spans="1:19" ht="15">
      <c r="A2" s="1190" t="s">
        <v>0</v>
      </c>
      <c r="B2" s="1190"/>
      <c r="C2" s="1190"/>
      <c r="D2" s="1190"/>
      <c r="E2" s="1190"/>
      <c r="F2" s="1190"/>
      <c r="G2" s="1190"/>
      <c r="H2" s="1190"/>
      <c r="I2" s="1190"/>
      <c r="J2" s="1190"/>
    </row>
    <row r="3" spans="1:19" ht="18">
      <c r="A3" s="1249" t="s">
        <v>636</v>
      </c>
      <c r="B3" s="1249"/>
      <c r="C3" s="1249"/>
      <c r="D3" s="1249"/>
      <c r="E3" s="1249"/>
      <c r="F3" s="1249"/>
      <c r="G3" s="1249"/>
      <c r="H3" s="1249"/>
      <c r="I3" s="1249"/>
      <c r="J3" s="1249"/>
    </row>
    <row r="4" spans="1:19" s="16" customFormat="1" ht="15.75" customHeight="1">
      <c r="A4" s="1366" t="s">
        <v>487</v>
      </c>
      <c r="B4" s="1366"/>
      <c r="C4" s="1366"/>
      <c r="D4" s="1366"/>
      <c r="E4" s="1366"/>
      <c r="F4" s="1366"/>
      <c r="G4" s="1366"/>
      <c r="H4" s="1366"/>
      <c r="I4" s="1366"/>
      <c r="J4" s="1366"/>
      <c r="K4" s="1366"/>
      <c r="L4" s="1366"/>
    </row>
    <row r="5" spans="1:19" s="16" customFormat="1">
      <c r="A5" s="1092" t="s">
        <v>1047</v>
      </c>
      <c r="B5" s="1092"/>
      <c r="I5" s="1274" t="s">
        <v>930</v>
      </c>
      <c r="J5" s="1274"/>
      <c r="K5" s="1274"/>
    </row>
    <row r="6" spans="1:19" s="14" customFormat="1" ht="15.75" hidden="1" customHeight="1">
      <c r="C6" s="1348" t="s">
        <v>15</v>
      </c>
      <c r="D6" s="1348"/>
      <c r="E6" s="1348"/>
      <c r="F6" s="1348"/>
      <c r="G6" s="1348"/>
      <c r="H6" s="1348"/>
      <c r="I6" s="1348"/>
      <c r="J6" s="1348"/>
    </row>
    <row r="7" spans="1:19" ht="31.5" customHeight="1">
      <c r="A7" s="1181" t="s">
        <v>25</v>
      </c>
      <c r="B7" s="1181" t="s">
        <v>38</v>
      </c>
      <c r="C7" s="1090" t="s">
        <v>734</v>
      </c>
      <c r="D7" s="1091"/>
      <c r="E7" s="1090" t="s">
        <v>477</v>
      </c>
      <c r="F7" s="1091"/>
      <c r="G7" s="1090" t="s">
        <v>40</v>
      </c>
      <c r="H7" s="1091"/>
      <c r="I7" s="1090" t="s">
        <v>104</v>
      </c>
      <c r="J7" s="1091"/>
      <c r="K7" s="1181" t="s">
        <v>513</v>
      </c>
      <c r="R7" s="13"/>
      <c r="S7" s="13"/>
    </row>
    <row r="8" spans="1:19" s="15" customFormat="1" ht="46.5" customHeight="1">
      <c r="A8" s="1182"/>
      <c r="B8" s="1182"/>
      <c r="C8" s="5" t="s">
        <v>41</v>
      </c>
      <c r="D8" s="5" t="s">
        <v>103</v>
      </c>
      <c r="E8" s="5" t="s">
        <v>41</v>
      </c>
      <c r="F8" s="5" t="s">
        <v>103</v>
      </c>
      <c r="G8" s="5" t="s">
        <v>41</v>
      </c>
      <c r="H8" s="5" t="s">
        <v>103</v>
      </c>
      <c r="I8" s="5" t="s">
        <v>136</v>
      </c>
      <c r="J8" s="5" t="s">
        <v>931</v>
      </c>
      <c r="K8" s="1182"/>
      <c r="R8" s="15">
        <f>19868-18529</f>
        <v>1339</v>
      </c>
    </row>
    <row r="9" spans="1:19">
      <c r="A9" s="231">
        <v>1</v>
      </c>
      <c r="B9" s="231">
        <v>2</v>
      </c>
      <c r="C9" s="231">
        <v>3</v>
      </c>
      <c r="D9" s="231">
        <v>4</v>
      </c>
      <c r="E9" s="231">
        <v>5</v>
      </c>
      <c r="F9" s="231">
        <v>6</v>
      </c>
      <c r="G9" s="231">
        <v>7</v>
      </c>
      <c r="H9" s="231">
        <v>8</v>
      </c>
      <c r="I9" s="231">
        <v>9</v>
      </c>
      <c r="J9" s="231">
        <v>10</v>
      </c>
      <c r="K9" s="231">
        <v>11</v>
      </c>
    </row>
    <row r="10" spans="1:19" ht="14.25">
      <c r="A10" s="745">
        <v>1</v>
      </c>
      <c r="B10" s="508" t="s">
        <v>825</v>
      </c>
      <c r="C10" s="785">
        <v>1099</v>
      </c>
      <c r="D10" s="786">
        <v>54.95</v>
      </c>
      <c r="E10" s="785">
        <v>1090.7871198568873</v>
      </c>
      <c r="F10" s="786">
        <v>34.034647449140799</v>
      </c>
      <c r="G10" s="785">
        <f>C10-E10</f>
        <v>8.2128801431126703</v>
      </c>
      <c r="H10" s="786">
        <f>D10-F10</f>
        <v>20.915352550859204</v>
      </c>
      <c r="I10" s="785">
        <f>C10-E10-G10</f>
        <v>0</v>
      </c>
      <c r="J10" s="786">
        <f>D10-F10-H10</f>
        <v>0</v>
      </c>
      <c r="K10" s="787">
        <v>0</v>
      </c>
      <c r="L10">
        <v>25</v>
      </c>
      <c r="M10" s="908">
        <v>1201</v>
      </c>
      <c r="N10">
        <v>2</v>
      </c>
      <c r="O10" s="908">
        <v>1099</v>
      </c>
      <c r="P10">
        <v>5000</v>
      </c>
      <c r="Q10">
        <f>O10*P10</f>
        <v>5495000</v>
      </c>
      <c r="R10">
        <f>Q10/100000</f>
        <v>54.95</v>
      </c>
      <c r="S10" s="694">
        <f>D10-F10</f>
        <v>20.915352550859204</v>
      </c>
    </row>
    <row r="11" spans="1:19" ht="14.25">
      <c r="A11" s="745">
        <v>2</v>
      </c>
      <c r="B11" s="508" t="s">
        <v>826</v>
      </c>
      <c r="C11" s="785">
        <v>698</v>
      </c>
      <c r="D11" s="786">
        <v>34.9</v>
      </c>
      <c r="E11" s="785">
        <v>645.6171735241503</v>
      </c>
      <c r="F11" s="786">
        <v>32.213560022361037</v>
      </c>
      <c r="G11" s="785">
        <f t="shared" ref="G11:H42" si="0">C11-E11</f>
        <v>52.382826475849697</v>
      </c>
      <c r="H11" s="786">
        <f t="shared" si="0"/>
        <v>2.6864399776389618</v>
      </c>
      <c r="I11" s="785">
        <f t="shared" ref="I11:J42" si="1">C11-E11-G11</f>
        <v>0</v>
      </c>
      <c r="J11" s="786">
        <f t="shared" si="1"/>
        <v>0</v>
      </c>
      <c r="K11" s="787">
        <v>0</v>
      </c>
      <c r="L11">
        <v>23</v>
      </c>
      <c r="M11" s="908">
        <v>719</v>
      </c>
      <c r="N11">
        <v>1</v>
      </c>
      <c r="O11" s="908">
        <v>698</v>
      </c>
      <c r="P11">
        <v>5000</v>
      </c>
      <c r="Q11">
        <f t="shared" ref="Q11:Q42" si="2">O11*P11</f>
        <v>3490000</v>
      </c>
      <c r="R11">
        <f t="shared" ref="R11:R42" si="3">Q11/100000</f>
        <v>34.9</v>
      </c>
      <c r="S11" s="694">
        <f t="shared" ref="S11:S42" si="4">D11-F11</f>
        <v>2.6864399776389618</v>
      </c>
    </row>
    <row r="12" spans="1:19" ht="14.25">
      <c r="A12" s="745">
        <v>3</v>
      </c>
      <c r="B12" s="508" t="s">
        <v>827</v>
      </c>
      <c r="C12" s="785">
        <v>1453</v>
      </c>
      <c r="D12" s="786">
        <v>72.650000000000006</v>
      </c>
      <c r="E12" s="785">
        <v>1411.180679785331</v>
      </c>
      <c r="F12" s="786">
        <v>54.000984371582042</v>
      </c>
      <c r="G12" s="785">
        <f t="shared" si="0"/>
        <v>41.819320214669006</v>
      </c>
      <c r="H12" s="786">
        <f t="shared" si="0"/>
        <v>18.649015628417963</v>
      </c>
      <c r="I12" s="785">
        <f t="shared" si="1"/>
        <v>0</v>
      </c>
      <c r="J12" s="786">
        <f t="shared" si="1"/>
        <v>0</v>
      </c>
      <c r="K12" s="787">
        <v>0</v>
      </c>
      <c r="L12">
        <v>23</v>
      </c>
      <c r="M12" s="908">
        <v>1544</v>
      </c>
      <c r="N12">
        <v>1</v>
      </c>
      <c r="O12" s="908">
        <v>1453</v>
      </c>
      <c r="P12">
        <v>5000</v>
      </c>
      <c r="Q12">
        <f t="shared" si="2"/>
        <v>7265000</v>
      </c>
      <c r="R12">
        <f t="shared" si="3"/>
        <v>72.650000000000006</v>
      </c>
      <c r="S12" s="694">
        <f t="shared" si="4"/>
        <v>18.649015628417963</v>
      </c>
    </row>
    <row r="13" spans="1:19" ht="14.25">
      <c r="A13" s="745">
        <v>4</v>
      </c>
      <c r="B13" s="508" t="s">
        <v>828</v>
      </c>
      <c r="C13" s="785">
        <v>970</v>
      </c>
      <c r="D13" s="786">
        <v>48.5</v>
      </c>
      <c r="E13" s="785">
        <v>879.06976744186045</v>
      </c>
      <c r="F13" s="786">
        <v>42.196728483581651</v>
      </c>
      <c r="G13" s="785">
        <f t="shared" si="0"/>
        <v>90.930232558139551</v>
      </c>
      <c r="H13" s="786">
        <f t="shared" si="0"/>
        <v>6.3032715164183486</v>
      </c>
      <c r="I13" s="785">
        <f t="shared" si="1"/>
        <v>0</v>
      </c>
      <c r="J13" s="786">
        <f t="shared" si="1"/>
        <v>0</v>
      </c>
      <c r="K13" s="787">
        <v>0</v>
      </c>
      <c r="L13">
        <v>23</v>
      </c>
      <c r="M13" s="908">
        <v>971</v>
      </c>
      <c r="N13">
        <v>1</v>
      </c>
      <c r="O13" s="908">
        <f t="shared" ref="O13:O42" si="5">M13-N13</f>
        <v>970</v>
      </c>
      <c r="P13">
        <v>5000</v>
      </c>
      <c r="Q13">
        <f t="shared" si="2"/>
        <v>4850000</v>
      </c>
      <c r="R13">
        <f t="shared" si="3"/>
        <v>48.5</v>
      </c>
      <c r="S13" s="694">
        <f t="shared" si="4"/>
        <v>6.3032715164183486</v>
      </c>
    </row>
    <row r="14" spans="1:19" ht="14.25">
      <c r="A14" s="745">
        <v>5</v>
      </c>
      <c r="B14" s="508" t="s">
        <v>829</v>
      </c>
      <c r="C14" s="785">
        <v>2290</v>
      </c>
      <c r="D14" s="786">
        <v>114.5</v>
      </c>
      <c r="E14" s="785">
        <v>2070.4830053667265</v>
      </c>
      <c r="F14" s="786">
        <v>92.744209221495751</v>
      </c>
      <c r="G14" s="785">
        <f t="shared" si="0"/>
        <v>219.5169946332735</v>
      </c>
      <c r="H14" s="786">
        <f t="shared" si="0"/>
        <v>21.755790778504249</v>
      </c>
      <c r="I14" s="785">
        <f t="shared" si="1"/>
        <v>0</v>
      </c>
      <c r="J14" s="786">
        <f t="shared" si="1"/>
        <v>0</v>
      </c>
      <c r="K14" s="787">
        <v>0</v>
      </c>
      <c r="L14">
        <v>23</v>
      </c>
      <c r="M14" s="908">
        <v>2291</v>
      </c>
      <c r="N14">
        <v>1</v>
      </c>
      <c r="O14" s="908">
        <f t="shared" si="5"/>
        <v>2290</v>
      </c>
      <c r="P14">
        <v>5000</v>
      </c>
      <c r="Q14">
        <f t="shared" si="2"/>
        <v>11450000</v>
      </c>
      <c r="R14">
        <f t="shared" si="3"/>
        <v>114.5</v>
      </c>
      <c r="S14" s="694">
        <f t="shared" si="4"/>
        <v>21.755790778504249</v>
      </c>
    </row>
    <row r="15" spans="1:19" ht="14.25">
      <c r="A15" s="745">
        <v>6</v>
      </c>
      <c r="B15" s="956" t="s">
        <v>830</v>
      </c>
      <c r="C15" s="957">
        <v>930</v>
      </c>
      <c r="D15" s="958">
        <v>46.5</v>
      </c>
      <c r="E15" s="957">
        <v>825.93917710196774</v>
      </c>
      <c r="F15" s="958">
        <v>46.134214811754127</v>
      </c>
      <c r="G15" s="957">
        <f t="shared" si="0"/>
        <v>104.06082289803226</v>
      </c>
      <c r="H15" s="958">
        <f t="shared" si="0"/>
        <v>0.36578518824587292</v>
      </c>
      <c r="I15" s="957">
        <f t="shared" si="1"/>
        <v>0</v>
      </c>
      <c r="J15" s="958">
        <f t="shared" si="1"/>
        <v>0</v>
      </c>
      <c r="K15" s="959">
        <v>0</v>
      </c>
      <c r="L15" s="952">
        <v>23</v>
      </c>
      <c r="M15" s="953">
        <v>913</v>
      </c>
      <c r="N15" s="952">
        <v>1</v>
      </c>
      <c r="O15" s="953">
        <v>930</v>
      </c>
      <c r="P15" s="952">
        <v>5000</v>
      </c>
      <c r="Q15" s="952">
        <f t="shared" si="2"/>
        <v>4650000</v>
      </c>
      <c r="R15" s="952">
        <f t="shared" si="3"/>
        <v>46.5</v>
      </c>
      <c r="S15" s="694">
        <f t="shared" si="4"/>
        <v>0.36578518824587292</v>
      </c>
    </row>
    <row r="16" spans="1:19" ht="14.25">
      <c r="A16" s="745">
        <v>7</v>
      </c>
      <c r="B16" s="956" t="s">
        <v>831</v>
      </c>
      <c r="C16" s="957">
        <v>746</v>
      </c>
      <c r="D16" s="958">
        <v>37.299999999999997</v>
      </c>
      <c r="E16" s="957">
        <v>557.06618962432913</v>
      </c>
      <c r="F16" s="958">
        <v>36.635029045038031</v>
      </c>
      <c r="G16" s="957">
        <f t="shared" si="0"/>
        <v>188.93381037567087</v>
      </c>
      <c r="H16" s="958">
        <f t="shared" si="0"/>
        <v>0.66497095496196579</v>
      </c>
      <c r="I16" s="957">
        <f t="shared" si="1"/>
        <v>0</v>
      </c>
      <c r="J16" s="958">
        <f t="shared" si="1"/>
        <v>0</v>
      </c>
      <c r="K16" s="959">
        <v>0</v>
      </c>
      <c r="L16" s="952">
        <v>23</v>
      </c>
      <c r="M16" s="953">
        <v>624</v>
      </c>
      <c r="N16" s="952">
        <v>1</v>
      </c>
      <c r="O16" s="953">
        <v>746</v>
      </c>
      <c r="P16" s="952">
        <v>5000</v>
      </c>
      <c r="Q16" s="952">
        <f t="shared" si="2"/>
        <v>3730000</v>
      </c>
      <c r="R16" s="952">
        <f t="shared" si="3"/>
        <v>37.299999999999997</v>
      </c>
      <c r="S16" s="694">
        <f t="shared" si="4"/>
        <v>0.66497095496196579</v>
      </c>
    </row>
    <row r="17" spans="1:19" ht="14.25">
      <c r="A17" s="745">
        <v>8</v>
      </c>
      <c r="B17" s="956" t="s">
        <v>832</v>
      </c>
      <c r="C17" s="957">
        <v>820</v>
      </c>
      <c r="D17" s="958">
        <v>41</v>
      </c>
      <c r="E17" s="957">
        <v>739.80322003577817</v>
      </c>
      <c r="F17" s="958">
        <v>29.465522689157329</v>
      </c>
      <c r="G17" s="957">
        <f t="shared" si="0"/>
        <v>80.196779964221832</v>
      </c>
      <c r="H17" s="958">
        <f t="shared" si="0"/>
        <v>11.534477310842671</v>
      </c>
      <c r="I17" s="957">
        <f t="shared" si="1"/>
        <v>0</v>
      </c>
      <c r="J17" s="958">
        <f t="shared" si="1"/>
        <v>0</v>
      </c>
      <c r="K17" s="959">
        <v>0</v>
      </c>
      <c r="L17">
        <v>23</v>
      </c>
      <c r="M17" s="908">
        <v>821</v>
      </c>
      <c r="N17">
        <v>1</v>
      </c>
      <c r="O17" s="908">
        <f t="shared" si="5"/>
        <v>820</v>
      </c>
      <c r="P17">
        <v>5000</v>
      </c>
      <c r="Q17">
        <f t="shared" si="2"/>
        <v>4100000</v>
      </c>
      <c r="R17">
        <f t="shared" si="3"/>
        <v>41</v>
      </c>
      <c r="S17" s="694">
        <f t="shared" si="4"/>
        <v>11.534477310842671</v>
      </c>
    </row>
    <row r="18" spans="1:19" ht="14.25">
      <c r="A18" s="745">
        <v>9</v>
      </c>
      <c r="B18" s="956" t="s">
        <v>833</v>
      </c>
      <c r="C18" s="957">
        <v>1488</v>
      </c>
      <c r="D18" s="958">
        <v>74.400000000000006</v>
      </c>
      <c r="E18" s="957">
        <v>1359.6601073345259</v>
      </c>
      <c r="F18" s="958">
        <v>61.27713098218409</v>
      </c>
      <c r="G18" s="957">
        <f t="shared" si="0"/>
        <v>128.33989266547405</v>
      </c>
      <c r="H18" s="958">
        <f t="shared" si="0"/>
        <v>13.122869017815916</v>
      </c>
      <c r="I18" s="957">
        <f t="shared" si="1"/>
        <v>0</v>
      </c>
      <c r="J18" s="958">
        <f t="shared" si="1"/>
        <v>0</v>
      </c>
      <c r="K18" s="959">
        <v>0</v>
      </c>
      <c r="L18">
        <v>23</v>
      </c>
      <c r="M18" s="908">
        <v>1489</v>
      </c>
      <c r="N18">
        <v>1</v>
      </c>
      <c r="O18" s="908">
        <f t="shared" si="5"/>
        <v>1488</v>
      </c>
      <c r="P18">
        <v>5000</v>
      </c>
      <c r="Q18">
        <f t="shared" si="2"/>
        <v>7440000</v>
      </c>
      <c r="R18">
        <f t="shared" si="3"/>
        <v>74.400000000000006</v>
      </c>
      <c r="S18" s="694">
        <f t="shared" si="4"/>
        <v>13.122869017815916</v>
      </c>
    </row>
    <row r="19" spans="1:19" ht="14.25">
      <c r="A19" s="745">
        <v>10</v>
      </c>
      <c r="B19" s="956" t="s">
        <v>834</v>
      </c>
      <c r="C19" s="957">
        <v>350</v>
      </c>
      <c r="D19" s="958">
        <v>17.5</v>
      </c>
      <c r="E19" s="957">
        <v>305.09838998211092</v>
      </c>
      <c r="F19" s="958">
        <v>11.648397054176895</v>
      </c>
      <c r="G19" s="957">
        <f t="shared" si="0"/>
        <v>44.901610017889084</v>
      </c>
      <c r="H19" s="958">
        <f t="shared" si="0"/>
        <v>5.8516029458231049</v>
      </c>
      <c r="I19" s="957">
        <f t="shared" si="1"/>
        <v>0</v>
      </c>
      <c r="J19" s="958">
        <f t="shared" si="1"/>
        <v>0</v>
      </c>
      <c r="K19" s="959">
        <v>0</v>
      </c>
      <c r="L19">
        <v>23</v>
      </c>
      <c r="M19" s="908">
        <v>352</v>
      </c>
      <c r="N19">
        <v>2</v>
      </c>
      <c r="O19" s="908">
        <f t="shared" si="5"/>
        <v>350</v>
      </c>
      <c r="P19">
        <v>5000</v>
      </c>
      <c r="Q19">
        <f t="shared" si="2"/>
        <v>1750000</v>
      </c>
      <c r="R19">
        <f t="shared" si="3"/>
        <v>17.5</v>
      </c>
      <c r="S19" s="694">
        <f t="shared" si="4"/>
        <v>5.8516029458231049</v>
      </c>
    </row>
    <row r="20" spans="1:19" ht="14.25">
      <c r="A20" s="745">
        <v>11</v>
      </c>
      <c r="B20" s="960" t="s">
        <v>835</v>
      </c>
      <c r="C20" s="957">
        <v>589</v>
      </c>
      <c r="D20" s="958">
        <v>29.45</v>
      </c>
      <c r="E20" s="957">
        <v>525.6708407871198</v>
      </c>
      <c r="F20" s="958">
        <v>13.420265901854508</v>
      </c>
      <c r="G20" s="957">
        <f t="shared" si="0"/>
        <v>63.329159212880199</v>
      </c>
      <c r="H20" s="958">
        <f t="shared" si="0"/>
        <v>16.029734098145489</v>
      </c>
      <c r="I20" s="957">
        <f t="shared" si="1"/>
        <v>0</v>
      </c>
      <c r="J20" s="958">
        <f t="shared" si="1"/>
        <v>0</v>
      </c>
      <c r="K20" s="959">
        <v>0</v>
      </c>
      <c r="L20">
        <v>23</v>
      </c>
      <c r="M20" s="908">
        <v>590</v>
      </c>
      <c r="N20">
        <v>1</v>
      </c>
      <c r="O20" s="908">
        <f t="shared" si="5"/>
        <v>589</v>
      </c>
      <c r="P20">
        <v>5000</v>
      </c>
      <c r="Q20">
        <f t="shared" si="2"/>
        <v>2945000</v>
      </c>
      <c r="R20">
        <f t="shared" si="3"/>
        <v>29.45</v>
      </c>
      <c r="S20" s="694">
        <f t="shared" si="4"/>
        <v>16.029734098145489</v>
      </c>
    </row>
    <row r="21" spans="1:19" ht="14.25">
      <c r="A21" s="745">
        <v>12</v>
      </c>
      <c r="B21" s="960" t="s">
        <v>836</v>
      </c>
      <c r="C21" s="957">
        <v>1121</v>
      </c>
      <c r="D21" s="958">
        <v>56.05</v>
      </c>
      <c r="E21" s="957">
        <v>1019.1413237924866</v>
      </c>
      <c r="F21" s="958">
        <v>47.766631018642293</v>
      </c>
      <c r="G21" s="957">
        <f t="shared" si="0"/>
        <v>101.85867620751344</v>
      </c>
      <c r="H21" s="958">
        <f t="shared" si="0"/>
        <v>8.2833689813577038</v>
      </c>
      <c r="I21" s="957">
        <f t="shared" si="1"/>
        <v>0</v>
      </c>
      <c r="J21" s="958">
        <f t="shared" si="1"/>
        <v>0</v>
      </c>
      <c r="K21" s="959">
        <v>0</v>
      </c>
      <c r="L21">
        <v>23</v>
      </c>
      <c r="M21" s="908">
        <v>1122</v>
      </c>
      <c r="N21">
        <v>1</v>
      </c>
      <c r="O21" s="908">
        <f t="shared" si="5"/>
        <v>1121</v>
      </c>
      <c r="P21">
        <v>5000</v>
      </c>
      <c r="Q21">
        <f t="shared" si="2"/>
        <v>5605000</v>
      </c>
      <c r="R21">
        <f t="shared" si="3"/>
        <v>56.05</v>
      </c>
      <c r="S21" s="694">
        <f t="shared" si="4"/>
        <v>8.2833689813577038</v>
      </c>
    </row>
    <row r="22" spans="1:19" ht="14.25">
      <c r="A22" s="745">
        <v>13</v>
      </c>
      <c r="B22" s="960" t="s">
        <v>837</v>
      </c>
      <c r="C22" s="957">
        <v>1455</v>
      </c>
      <c r="D22" s="958">
        <v>72.75</v>
      </c>
      <c r="E22" s="957">
        <v>1329.0697674418604</v>
      </c>
      <c r="F22" s="958">
        <v>68.167732056485903</v>
      </c>
      <c r="G22" s="957">
        <f t="shared" si="0"/>
        <v>125.93023255813955</v>
      </c>
      <c r="H22" s="958">
        <f t="shared" si="0"/>
        <v>4.5822679435140969</v>
      </c>
      <c r="I22" s="957">
        <f t="shared" si="1"/>
        <v>0</v>
      </c>
      <c r="J22" s="958">
        <f t="shared" si="1"/>
        <v>0</v>
      </c>
      <c r="K22" s="959">
        <v>0</v>
      </c>
      <c r="L22">
        <v>23</v>
      </c>
      <c r="M22" s="908">
        <v>1456</v>
      </c>
      <c r="N22">
        <v>1</v>
      </c>
      <c r="O22" s="908">
        <f t="shared" si="5"/>
        <v>1455</v>
      </c>
      <c r="P22">
        <v>5000</v>
      </c>
      <c r="Q22">
        <f t="shared" si="2"/>
        <v>7275000</v>
      </c>
      <c r="R22">
        <f t="shared" si="3"/>
        <v>72.75</v>
      </c>
      <c r="S22" s="694">
        <f t="shared" si="4"/>
        <v>4.5822679435140969</v>
      </c>
    </row>
    <row r="23" spans="1:19" ht="14.25">
      <c r="A23" s="745">
        <v>14</v>
      </c>
      <c r="B23" s="960" t="s">
        <v>838</v>
      </c>
      <c r="C23" s="957">
        <v>765</v>
      </c>
      <c r="D23" s="958">
        <v>38.25</v>
      </c>
      <c r="E23" s="957">
        <v>689.08765652951695</v>
      </c>
      <c r="F23" s="958">
        <v>22.640546386991712</v>
      </c>
      <c r="G23" s="957">
        <f t="shared" si="0"/>
        <v>75.912343470483052</v>
      </c>
      <c r="H23" s="958">
        <f t="shared" si="0"/>
        <v>15.609453613008288</v>
      </c>
      <c r="I23" s="957">
        <f t="shared" si="1"/>
        <v>0</v>
      </c>
      <c r="J23" s="958">
        <f t="shared" si="1"/>
        <v>0</v>
      </c>
      <c r="K23" s="959">
        <v>0</v>
      </c>
      <c r="L23">
        <v>23</v>
      </c>
      <c r="M23" s="908">
        <v>766</v>
      </c>
      <c r="N23">
        <v>1</v>
      </c>
      <c r="O23" s="908">
        <f t="shared" si="5"/>
        <v>765</v>
      </c>
      <c r="P23">
        <v>5000</v>
      </c>
      <c r="Q23">
        <f t="shared" si="2"/>
        <v>3825000</v>
      </c>
      <c r="R23">
        <f t="shared" si="3"/>
        <v>38.25</v>
      </c>
      <c r="S23" s="694">
        <f t="shared" si="4"/>
        <v>15.609453613008288</v>
      </c>
    </row>
    <row r="24" spans="1:19" s="13" customFormat="1" ht="14.25">
      <c r="A24" s="745">
        <v>15</v>
      </c>
      <c r="B24" s="960" t="s">
        <v>839</v>
      </c>
      <c r="C24" s="957">
        <v>579</v>
      </c>
      <c r="D24" s="958">
        <v>28.95</v>
      </c>
      <c r="E24" s="957">
        <v>516.8157423971378</v>
      </c>
      <c r="F24" s="958">
        <v>19.999149308509345</v>
      </c>
      <c r="G24" s="957">
        <f t="shared" si="0"/>
        <v>62.184257602862203</v>
      </c>
      <c r="H24" s="958">
        <f t="shared" si="0"/>
        <v>8.950850691490654</v>
      </c>
      <c r="I24" s="957">
        <f t="shared" si="1"/>
        <v>0</v>
      </c>
      <c r="J24" s="958">
        <f t="shared" si="1"/>
        <v>0</v>
      </c>
      <c r="K24" s="959">
        <v>0</v>
      </c>
      <c r="L24">
        <v>23</v>
      </c>
      <c r="M24" s="908">
        <v>580</v>
      </c>
      <c r="N24">
        <v>1</v>
      </c>
      <c r="O24" s="908">
        <f t="shared" si="5"/>
        <v>579</v>
      </c>
      <c r="P24">
        <v>5000</v>
      </c>
      <c r="Q24">
        <f t="shared" si="2"/>
        <v>2895000</v>
      </c>
      <c r="R24">
        <f t="shared" si="3"/>
        <v>28.95</v>
      </c>
      <c r="S24" s="694">
        <f t="shared" si="4"/>
        <v>8.950850691490654</v>
      </c>
    </row>
    <row r="25" spans="1:19" s="13" customFormat="1" ht="14.25">
      <c r="A25" s="745">
        <v>16</v>
      </c>
      <c r="B25" s="960" t="s">
        <v>840</v>
      </c>
      <c r="C25" s="957">
        <v>378</v>
      </c>
      <c r="D25" s="958">
        <v>18.899999999999999</v>
      </c>
      <c r="E25" s="957">
        <v>254.38282647584973</v>
      </c>
      <c r="F25" s="958">
        <v>18.555404321512771</v>
      </c>
      <c r="G25" s="957">
        <f t="shared" si="0"/>
        <v>123.61717352415027</v>
      </c>
      <c r="H25" s="958">
        <f t="shared" si="0"/>
        <v>0.34459567848722727</v>
      </c>
      <c r="I25" s="957">
        <f t="shared" si="1"/>
        <v>0</v>
      </c>
      <c r="J25" s="958">
        <f t="shared" si="1"/>
        <v>0</v>
      </c>
      <c r="K25" s="959">
        <v>0</v>
      </c>
      <c r="L25" s="952">
        <v>23</v>
      </c>
      <c r="M25" s="953">
        <v>297</v>
      </c>
      <c r="N25" s="952">
        <v>1</v>
      </c>
      <c r="O25" s="953">
        <v>378</v>
      </c>
      <c r="P25" s="952">
        <v>5000</v>
      </c>
      <c r="Q25" s="952">
        <f t="shared" si="2"/>
        <v>1890000</v>
      </c>
      <c r="R25" s="952">
        <f t="shared" si="3"/>
        <v>18.899999999999999</v>
      </c>
      <c r="S25" s="694">
        <f t="shared" si="4"/>
        <v>0.34459567848722727</v>
      </c>
    </row>
    <row r="26" spans="1:19" s="13" customFormat="1" ht="14.25">
      <c r="A26" s="745">
        <v>17</v>
      </c>
      <c r="B26" s="960" t="s">
        <v>841</v>
      </c>
      <c r="C26" s="957">
        <v>935</v>
      </c>
      <c r="D26" s="958">
        <v>46.75</v>
      </c>
      <c r="E26" s="957">
        <v>846.86940966010729</v>
      </c>
      <c r="F26" s="958">
        <v>45.363123739153686</v>
      </c>
      <c r="G26" s="957">
        <f t="shared" si="0"/>
        <v>88.130590339892706</v>
      </c>
      <c r="H26" s="958">
        <f t="shared" si="0"/>
        <v>1.3868762608463143</v>
      </c>
      <c r="I26" s="957">
        <f t="shared" si="1"/>
        <v>0</v>
      </c>
      <c r="J26" s="958">
        <f t="shared" si="1"/>
        <v>0</v>
      </c>
      <c r="K26" s="959">
        <v>0</v>
      </c>
      <c r="L26" s="952">
        <v>23</v>
      </c>
      <c r="M26" s="953">
        <v>936</v>
      </c>
      <c r="N26" s="952">
        <v>1</v>
      </c>
      <c r="O26" s="954">
        <f>M26-N26</f>
        <v>935</v>
      </c>
      <c r="P26" s="955">
        <v>5000</v>
      </c>
      <c r="Q26" s="955">
        <f>O26*P26</f>
        <v>4675000</v>
      </c>
      <c r="R26" s="955">
        <f t="shared" si="3"/>
        <v>46.75</v>
      </c>
      <c r="S26" s="694">
        <f t="shared" si="4"/>
        <v>1.3868762608463143</v>
      </c>
    </row>
    <row r="27" spans="1:19" s="13" customFormat="1" ht="14.25">
      <c r="A27" s="745">
        <v>18</v>
      </c>
      <c r="B27" s="960" t="s">
        <v>842</v>
      </c>
      <c r="C27" s="957">
        <v>725</v>
      </c>
      <c r="D27" s="958">
        <v>36.25</v>
      </c>
      <c r="E27" s="957">
        <v>652.05724508050093</v>
      </c>
      <c r="F27" s="958">
        <v>36.027999902778113</v>
      </c>
      <c r="G27" s="957">
        <f t="shared" si="0"/>
        <v>72.942754919499066</v>
      </c>
      <c r="H27" s="958">
        <f t="shared" si="0"/>
        <v>0.22200009722188696</v>
      </c>
      <c r="I27" s="957">
        <f t="shared" si="1"/>
        <v>0</v>
      </c>
      <c r="J27" s="958">
        <f t="shared" si="1"/>
        <v>0</v>
      </c>
      <c r="K27" s="959">
        <v>0</v>
      </c>
      <c r="L27">
        <v>23</v>
      </c>
      <c r="M27" s="908">
        <v>726</v>
      </c>
      <c r="N27">
        <v>1</v>
      </c>
      <c r="O27" s="908">
        <f t="shared" si="5"/>
        <v>725</v>
      </c>
      <c r="P27">
        <v>5000</v>
      </c>
      <c r="Q27">
        <f t="shared" si="2"/>
        <v>3625000</v>
      </c>
      <c r="R27">
        <f t="shared" si="3"/>
        <v>36.25</v>
      </c>
      <c r="S27" s="694">
        <f t="shared" si="4"/>
        <v>0.22200009722188696</v>
      </c>
    </row>
    <row r="28" spans="1:19" s="13" customFormat="1" ht="14.25">
      <c r="A28" s="745">
        <v>19</v>
      </c>
      <c r="B28" s="960" t="s">
        <v>843</v>
      </c>
      <c r="C28" s="957">
        <v>729</v>
      </c>
      <c r="D28" s="958">
        <v>36.450000000000003</v>
      </c>
      <c r="E28" s="957">
        <v>656.08228980322008</v>
      </c>
      <c r="F28" s="958">
        <v>34.02644435262377</v>
      </c>
      <c r="G28" s="957">
        <f t="shared" si="0"/>
        <v>72.917710196779922</v>
      </c>
      <c r="H28" s="958">
        <f t="shared" si="0"/>
        <v>2.423555647376233</v>
      </c>
      <c r="I28" s="957">
        <f t="shared" si="1"/>
        <v>0</v>
      </c>
      <c r="J28" s="958">
        <f t="shared" si="1"/>
        <v>0</v>
      </c>
      <c r="K28" s="959">
        <v>0</v>
      </c>
      <c r="L28">
        <v>23</v>
      </c>
      <c r="M28" s="908">
        <v>730</v>
      </c>
      <c r="N28">
        <v>1</v>
      </c>
      <c r="O28" s="908">
        <f t="shared" si="5"/>
        <v>729</v>
      </c>
      <c r="P28">
        <v>5000</v>
      </c>
      <c r="Q28">
        <f t="shared" si="2"/>
        <v>3645000</v>
      </c>
      <c r="R28">
        <f t="shared" si="3"/>
        <v>36.450000000000003</v>
      </c>
      <c r="S28" s="694">
        <f t="shared" si="4"/>
        <v>2.423555647376233</v>
      </c>
    </row>
    <row r="29" spans="1:19" ht="15.75" customHeight="1">
      <c r="A29" s="745">
        <v>20</v>
      </c>
      <c r="B29" s="960" t="s">
        <v>844</v>
      </c>
      <c r="C29" s="957">
        <v>1274</v>
      </c>
      <c r="D29" s="958">
        <v>63.7</v>
      </c>
      <c r="E29" s="957">
        <v>1161.6279069767443</v>
      </c>
      <c r="F29" s="958">
        <v>57.479097294801051</v>
      </c>
      <c r="G29" s="957">
        <f t="shared" si="0"/>
        <v>112.37209302325573</v>
      </c>
      <c r="H29" s="958">
        <f t="shared" si="0"/>
        <v>6.2209027051989523</v>
      </c>
      <c r="I29" s="957">
        <f t="shared" si="1"/>
        <v>0</v>
      </c>
      <c r="J29" s="958">
        <f t="shared" si="1"/>
        <v>0</v>
      </c>
      <c r="K29" s="959">
        <v>0</v>
      </c>
      <c r="L29">
        <v>23</v>
      </c>
      <c r="M29" s="908">
        <v>1275</v>
      </c>
      <c r="N29">
        <v>1</v>
      </c>
      <c r="O29" s="908">
        <f t="shared" si="5"/>
        <v>1274</v>
      </c>
      <c r="P29">
        <v>5000</v>
      </c>
      <c r="Q29">
        <f t="shared" si="2"/>
        <v>6370000</v>
      </c>
      <c r="R29">
        <f t="shared" si="3"/>
        <v>63.7</v>
      </c>
      <c r="S29" s="694">
        <f t="shared" si="4"/>
        <v>6.2209027051989523</v>
      </c>
    </row>
    <row r="30" spans="1:19" s="772" customFormat="1" ht="13.9" customHeight="1">
      <c r="A30" s="745">
        <v>21</v>
      </c>
      <c r="B30" s="960" t="s">
        <v>845</v>
      </c>
      <c r="C30" s="957">
        <v>1453</v>
      </c>
      <c r="D30" s="958">
        <v>72.650000000000006</v>
      </c>
      <c r="E30" s="957">
        <v>1341.144901610018</v>
      </c>
      <c r="F30" s="958">
        <v>60.186119145419632</v>
      </c>
      <c r="G30" s="957">
        <f t="shared" si="0"/>
        <v>111.855098389982</v>
      </c>
      <c r="H30" s="958">
        <f t="shared" si="0"/>
        <v>12.463880854580374</v>
      </c>
      <c r="I30" s="957">
        <f t="shared" si="1"/>
        <v>0</v>
      </c>
      <c r="J30" s="958">
        <f t="shared" si="1"/>
        <v>0</v>
      </c>
      <c r="K30" s="959">
        <v>0</v>
      </c>
      <c r="L30">
        <v>23</v>
      </c>
      <c r="M30" s="908">
        <v>1467</v>
      </c>
      <c r="N30">
        <v>1</v>
      </c>
      <c r="O30" s="908">
        <f>M30-N30-13</f>
        <v>1453</v>
      </c>
      <c r="P30">
        <v>5000</v>
      </c>
      <c r="Q30">
        <f t="shared" si="2"/>
        <v>7265000</v>
      </c>
      <c r="R30">
        <f t="shared" si="3"/>
        <v>72.650000000000006</v>
      </c>
      <c r="S30" s="694">
        <f t="shared" si="4"/>
        <v>12.463880854580374</v>
      </c>
    </row>
    <row r="31" spans="1:19" s="772" customFormat="1" ht="13.15" customHeight="1">
      <c r="A31" s="745">
        <v>22</v>
      </c>
      <c r="B31" s="347" t="s">
        <v>846</v>
      </c>
      <c r="C31" s="785">
        <v>871</v>
      </c>
      <c r="D31" s="786">
        <v>43.55</v>
      </c>
      <c r="E31" s="785">
        <v>787.29874776386407</v>
      </c>
      <c r="F31" s="786">
        <v>42.861179301460758</v>
      </c>
      <c r="G31" s="785">
        <f t="shared" si="0"/>
        <v>83.701252236135929</v>
      </c>
      <c r="H31" s="786">
        <f t="shared" si="0"/>
        <v>0.68882069853923866</v>
      </c>
      <c r="I31" s="785">
        <f t="shared" si="1"/>
        <v>0</v>
      </c>
      <c r="J31" s="786">
        <f t="shared" si="1"/>
        <v>0</v>
      </c>
      <c r="K31" s="787">
        <v>0</v>
      </c>
      <c r="L31">
        <v>23</v>
      </c>
      <c r="M31" s="908">
        <v>872</v>
      </c>
      <c r="N31">
        <v>1</v>
      </c>
      <c r="O31" s="908">
        <f t="shared" si="5"/>
        <v>871</v>
      </c>
      <c r="P31">
        <v>5000</v>
      </c>
      <c r="Q31">
        <f t="shared" si="2"/>
        <v>4355000</v>
      </c>
      <c r="R31">
        <f t="shared" si="3"/>
        <v>43.55</v>
      </c>
      <c r="S31" s="694">
        <f t="shared" si="4"/>
        <v>0.68882069853923866</v>
      </c>
    </row>
    <row r="32" spans="1:19" s="772" customFormat="1" ht="13.15" customHeight="1">
      <c r="A32" s="745">
        <v>23</v>
      </c>
      <c r="B32" s="347" t="s">
        <v>847</v>
      </c>
      <c r="C32" s="785">
        <v>894</v>
      </c>
      <c r="D32" s="786">
        <v>44.7</v>
      </c>
      <c r="E32" s="785">
        <v>809.03398926654745</v>
      </c>
      <c r="F32" s="786">
        <v>32.689339620348541</v>
      </c>
      <c r="G32" s="785">
        <f t="shared" si="0"/>
        <v>84.966010733452549</v>
      </c>
      <c r="H32" s="786">
        <f t="shared" si="0"/>
        <v>12.010660379651462</v>
      </c>
      <c r="I32" s="785">
        <f t="shared" si="1"/>
        <v>0</v>
      </c>
      <c r="J32" s="786">
        <f t="shared" si="1"/>
        <v>0</v>
      </c>
      <c r="K32" s="787">
        <v>0</v>
      </c>
      <c r="L32">
        <v>23</v>
      </c>
      <c r="M32" s="908">
        <v>895</v>
      </c>
      <c r="N32">
        <v>1</v>
      </c>
      <c r="O32" s="908">
        <f t="shared" si="5"/>
        <v>894</v>
      </c>
      <c r="P32">
        <v>5000</v>
      </c>
      <c r="Q32">
        <f t="shared" si="2"/>
        <v>4470000</v>
      </c>
      <c r="R32">
        <f t="shared" si="3"/>
        <v>44.7</v>
      </c>
      <c r="S32" s="694">
        <f t="shared" si="4"/>
        <v>12.010660379651462</v>
      </c>
    </row>
    <row r="33" spans="1:19" s="772" customFormat="1" ht="14.25">
      <c r="A33" s="745">
        <v>24</v>
      </c>
      <c r="B33" s="347" t="s">
        <v>848</v>
      </c>
      <c r="C33" s="785">
        <v>887</v>
      </c>
      <c r="D33" s="786">
        <v>44.35</v>
      </c>
      <c r="E33" s="785">
        <v>802.59391771019682</v>
      </c>
      <c r="F33" s="786">
        <v>25.331162044576235</v>
      </c>
      <c r="G33" s="785">
        <f t="shared" si="0"/>
        <v>84.40608228980318</v>
      </c>
      <c r="H33" s="786">
        <f t="shared" si="0"/>
        <v>19.018837955423766</v>
      </c>
      <c r="I33" s="785">
        <f t="shared" si="1"/>
        <v>0</v>
      </c>
      <c r="J33" s="786">
        <f t="shared" si="1"/>
        <v>0</v>
      </c>
      <c r="K33" s="787">
        <v>0</v>
      </c>
      <c r="L33">
        <v>23</v>
      </c>
      <c r="M33" s="908">
        <v>888</v>
      </c>
      <c r="N33">
        <v>1</v>
      </c>
      <c r="O33" s="908">
        <f t="shared" si="5"/>
        <v>887</v>
      </c>
      <c r="P33">
        <v>5000</v>
      </c>
      <c r="Q33">
        <f t="shared" si="2"/>
        <v>4435000</v>
      </c>
      <c r="R33">
        <f t="shared" si="3"/>
        <v>44.35</v>
      </c>
      <c r="S33" s="694">
        <f t="shared" si="4"/>
        <v>19.018837955423766</v>
      </c>
    </row>
    <row r="34" spans="1:19" s="772" customFormat="1" ht="14.25">
      <c r="A34" s="745">
        <v>25</v>
      </c>
      <c r="B34" s="347" t="s">
        <v>849</v>
      </c>
      <c r="C34" s="785">
        <v>457</v>
      </c>
      <c r="D34" s="786">
        <v>22.85</v>
      </c>
      <c r="E34" s="785">
        <v>403.30948121645798</v>
      </c>
      <c r="F34" s="786">
        <v>21.984298665629634</v>
      </c>
      <c r="G34" s="785">
        <f t="shared" si="0"/>
        <v>53.690518783542018</v>
      </c>
      <c r="H34" s="786">
        <f>D34-F34</f>
        <v>0.86570133437036745</v>
      </c>
      <c r="I34" s="785">
        <f t="shared" si="1"/>
        <v>0</v>
      </c>
      <c r="J34" s="786">
        <f>D34-F34-H34</f>
        <v>0</v>
      </c>
      <c r="K34" s="787">
        <v>0</v>
      </c>
      <c r="L34">
        <v>23</v>
      </c>
      <c r="M34" s="908">
        <v>458</v>
      </c>
      <c r="N34">
        <v>1</v>
      </c>
      <c r="O34" s="908">
        <f t="shared" si="5"/>
        <v>457</v>
      </c>
      <c r="P34">
        <v>5000</v>
      </c>
      <c r="Q34">
        <f t="shared" si="2"/>
        <v>2285000</v>
      </c>
      <c r="R34">
        <f t="shared" si="3"/>
        <v>22.85</v>
      </c>
      <c r="S34" s="694">
        <f t="shared" si="4"/>
        <v>0.86570133437036745</v>
      </c>
    </row>
    <row r="35" spans="1:19" ht="14.25">
      <c r="A35" s="745">
        <v>26</v>
      </c>
      <c r="B35" s="347" t="s">
        <v>850</v>
      </c>
      <c r="C35" s="785">
        <v>721</v>
      </c>
      <c r="D35" s="786">
        <v>36.049999999999997</v>
      </c>
      <c r="E35" s="785">
        <v>648.03220035778179</v>
      </c>
      <c r="F35" s="786">
        <v>25.823347835597794</v>
      </c>
      <c r="G35" s="785">
        <f t="shared" si="0"/>
        <v>72.96779964221821</v>
      </c>
      <c r="H35" s="786">
        <f t="shared" si="0"/>
        <v>10.226652164402203</v>
      </c>
      <c r="I35" s="785">
        <f t="shared" si="1"/>
        <v>0</v>
      </c>
      <c r="J35" s="786">
        <f t="shared" si="1"/>
        <v>0</v>
      </c>
      <c r="K35" s="787">
        <v>0</v>
      </c>
      <c r="L35">
        <v>23</v>
      </c>
      <c r="M35" s="908">
        <v>722</v>
      </c>
      <c r="N35">
        <v>1</v>
      </c>
      <c r="O35" s="908">
        <f t="shared" si="5"/>
        <v>721</v>
      </c>
      <c r="P35">
        <v>5000</v>
      </c>
      <c r="Q35">
        <f t="shared" si="2"/>
        <v>3605000</v>
      </c>
      <c r="R35">
        <f t="shared" si="3"/>
        <v>36.049999999999997</v>
      </c>
      <c r="S35" s="694">
        <f t="shared" si="4"/>
        <v>10.226652164402203</v>
      </c>
    </row>
    <row r="36" spans="1:19" ht="14.25">
      <c r="A36" s="776">
        <v>27</v>
      </c>
      <c r="B36" s="9" t="s">
        <v>851</v>
      </c>
      <c r="C36" s="785">
        <v>951</v>
      </c>
      <c r="D36" s="786">
        <v>47.55</v>
      </c>
      <c r="E36" s="785">
        <v>861.35957066189621</v>
      </c>
      <c r="F36" s="786">
        <v>38.062367839000558</v>
      </c>
      <c r="G36" s="785">
        <f t="shared" si="0"/>
        <v>89.640429338103786</v>
      </c>
      <c r="H36" s="786">
        <f>D36-F36</f>
        <v>9.4876321609994392</v>
      </c>
      <c r="I36" s="785">
        <f t="shared" si="1"/>
        <v>0</v>
      </c>
      <c r="J36" s="786">
        <f>D36-F36-H36</f>
        <v>0</v>
      </c>
      <c r="K36" s="787">
        <v>0</v>
      </c>
      <c r="L36">
        <v>23</v>
      </c>
      <c r="M36" s="908">
        <v>952</v>
      </c>
      <c r="N36">
        <v>1</v>
      </c>
      <c r="O36" s="908">
        <f t="shared" si="5"/>
        <v>951</v>
      </c>
      <c r="P36">
        <v>5000</v>
      </c>
      <c r="Q36">
        <f t="shared" si="2"/>
        <v>4755000</v>
      </c>
      <c r="R36">
        <f t="shared" si="3"/>
        <v>47.55</v>
      </c>
      <c r="S36" s="694">
        <f t="shared" si="4"/>
        <v>9.4876321609994392</v>
      </c>
    </row>
    <row r="37" spans="1:19" ht="14.25">
      <c r="A37" s="776">
        <v>28</v>
      </c>
      <c r="B37" s="9" t="s">
        <v>852</v>
      </c>
      <c r="C37" s="785">
        <v>244</v>
      </c>
      <c r="D37" s="786">
        <v>12.2</v>
      </c>
      <c r="E37" s="785">
        <v>206.08228980322005</v>
      </c>
      <c r="F37" s="786">
        <v>9.1054371338988407</v>
      </c>
      <c r="G37" s="785">
        <f t="shared" si="0"/>
        <v>37.91771019677995</v>
      </c>
      <c r="H37" s="786">
        <f t="shared" si="0"/>
        <v>3.0945628661011586</v>
      </c>
      <c r="I37" s="785">
        <f t="shared" si="1"/>
        <v>0</v>
      </c>
      <c r="J37" s="786">
        <f t="shared" si="1"/>
        <v>0</v>
      </c>
      <c r="K37" s="787">
        <v>0</v>
      </c>
      <c r="L37">
        <v>23</v>
      </c>
      <c r="M37" s="908">
        <v>245</v>
      </c>
      <c r="N37">
        <v>1</v>
      </c>
      <c r="O37" s="908">
        <f t="shared" si="5"/>
        <v>244</v>
      </c>
      <c r="P37">
        <v>5000</v>
      </c>
      <c r="Q37">
        <f t="shared" si="2"/>
        <v>1220000</v>
      </c>
      <c r="R37">
        <f t="shared" si="3"/>
        <v>12.2</v>
      </c>
      <c r="S37" s="694">
        <f t="shared" si="4"/>
        <v>3.0945628661011586</v>
      </c>
    </row>
    <row r="38" spans="1:19" ht="14.25">
      <c r="A38" s="776">
        <v>29</v>
      </c>
      <c r="B38" s="9" t="s">
        <v>853</v>
      </c>
      <c r="C38" s="785">
        <v>1299</v>
      </c>
      <c r="D38" s="786">
        <v>64.95</v>
      </c>
      <c r="E38" s="785">
        <v>1184.9731663685152</v>
      </c>
      <c r="F38" s="786">
        <v>28.456541817563132</v>
      </c>
      <c r="G38" s="785">
        <f t="shared" si="0"/>
        <v>114.02683363148481</v>
      </c>
      <c r="H38" s="786">
        <f t="shared" si="0"/>
        <v>36.493458182436868</v>
      </c>
      <c r="I38" s="785">
        <f t="shared" si="1"/>
        <v>0</v>
      </c>
      <c r="J38" s="786">
        <f t="shared" si="1"/>
        <v>0</v>
      </c>
      <c r="K38" s="787">
        <v>0</v>
      </c>
      <c r="L38">
        <v>23</v>
      </c>
      <c r="M38" s="908">
        <v>1300</v>
      </c>
      <c r="N38">
        <v>1</v>
      </c>
      <c r="O38" s="908">
        <f t="shared" si="5"/>
        <v>1299</v>
      </c>
      <c r="P38">
        <v>5000</v>
      </c>
      <c r="Q38">
        <f t="shared" si="2"/>
        <v>6495000</v>
      </c>
      <c r="R38">
        <f t="shared" si="3"/>
        <v>64.95</v>
      </c>
      <c r="S38" s="694">
        <f t="shared" si="4"/>
        <v>36.493458182436868</v>
      </c>
    </row>
    <row r="39" spans="1:19" ht="14.25">
      <c r="A39" s="776">
        <v>30</v>
      </c>
      <c r="B39" s="9" t="s">
        <v>854</v>
      </c>
      <c r="C39" s="785">
        <v>552</v>
      </c>
      <c r="D39" s="786">
        <v>27.6</v>
      </c>
      <c r="E39" s="785">
        <v>491.86046511627904</v>
      </c>
      <c r="F39" s="786">
        <v>21.738205770118853</v>
      </c>
      <c r="G39" s="785">
        <f t="shared" si="0"/>
        <v>60.139534883720955</v>
      </c>
      <c r="H39" s="786">
        <f t="shared" si="0"/>
        <v>5.8617942298811485</v>
      </c>
      <c r="I39" s="785">
        <f t="shared" si="1"/>
        <v>0</v>
      </c>
      <c r="J39" s="786">
        <f t="shared" si="1"/>
        <v>0</v>
      </c>
      <c r="K39" s="787">
        <v>0</v>
      </c>
      <c r="L39">
        <v>23</v>
      </c>
      <c r="M39" s="908">
        <v>553</v>
      </c>
      <c r="N39">
        <v>1</v>
      </c>
      <c r="O39" s="908">
        <f t="shared" si="5"/>
        <v>552</v>
      </c>
      <c r="P39">
        <v>5000</v>
      </c>
      <c r="Q39">
        <f t="shared" si="2"/>
        <v>2760000</v>
      </c>
      <c r="R39">
        <f t="shared" si="3"/>
        <v>27.6</v>
      </c>
      <c r="S39" s="694">
        <f t="shared" si="4"/>
        <v>5.8617942298811485</v>
      </c>
    </row>
    <row r="40" spans="1:19" ht="14.25">
      <c r="A40" s="776">
        <v>31</v>
      </c>
      <c r="B40" s="9" t="s">
        <v>855</v>
      </c>
      <c r="C40" s="785">
        <v>616</v>
      </c>
      <c r="D40" s="786">
        <v>30.8</v>
      </c>
      <c r="E40" s="785">
        <v>551.43112701252232</v>
      </c>
      <c r="F40" s="786">
        <v>24.371399752084194</v>
      </c>
      <c r="G40" s="785">
        <f t="shared" si="0"/>
        <v>64.568872987477675</v>
      </c>
      <c r="H40" s="786">
        <f t="shared" si="0"/>
        <v>6.4286002479158064</v>
      </c>
      <c r="I40" s="785">
        <f t="shared" si="1"/>
        <v>0</v>
      </c>
      <c r="J40" s="786">
        <f t="shared" si="1"/>
        <v>0</v>
      </c>
      <c r="K40" s="787">
        <v>0</v>
      </c>
      <c r="L40">
        <v>23</v>
      </c>
      <c r="M40" s="908">
        <v>617</v>
      </c>
      <c r="N40">
        <v>1</v>
      </c>
      <c r="O40" s="908">
        <f t="shared" si="5"/>
        <v>616</v>
      </c>
      <c r="P40">
        <v>5000</v>
      </c>
      <c r="Q40">
        <f t="shared" si="2"/>
        <v>3080000</v>
      </c>
      <c r="R40">
        <f t="shared" si="3"/>
        <v>30.8</v>
      </c>
      <c r="S40" s="694">
        <f t="shared" si="4"/>
        <v>6.4286002479158064</v>
      </c>
    </row>
    <row r="41" spans="1:19" ht="14.25">
      <c r="A41" s="776">
        <v>32</v>
      </c>
      <c r="B41" s="9" t="s">
        <v>856</v>
      </c>
      <c r="C41" s="785">
        <v>984</v>
      </c>
      <c r="D41" s="786">
        <v>49.2</v>
      </c>
      <c r="E41" s="785">
        <v>891.94991055456171</v>
      </c>
      <c r="F41" s="786">
        <v>39.415878764309838</v>
      </c>
      <c r="G41" s="785">
        <f t="shared" si="0"/>
        <v>92.050089445438289</v>
      </c>
      <c r="H41" s="786">
        <f t="shared" si="0"/>
        <v>9.784121235690165</v>
      </c>
      <c r="I41" s="785">
        <f t="shared" si="1"/>
        <v>0</v>
      </c>
      <c r="J41" s="786">
        <f t="shared" si="1"/>
        <v>0</v>
      </c>
      <c r="K41" s="787">
        <v>0</v>
      </c>
      <c r="L41">
        <v>23</v>
      </c>
      <c r="M41" s="908">
        <v>985</v>
      </c>
      <c r="N41">
        <v>1</v>
      </c>
      <c r="O41" s="908">
        <f t="shared" si="5"/>
        <v>984</v>
      </c>
      <c r="P41">
        <v>5000</v>
      </c>
      <c r="Q41">
        <f t="shared" si="2"/>
        <v>4920000</v>
      </c>
      <c r="R41">
        <f t="shared" si="3"/>
        <v>49.2</v>
      </c>
      <c r="S41" s="694">
        <f t="shared" si="4"/>
        <v>9.784121235690165</v>
      </c>
    </row>
    <row r="42" spans="1:19" ht="14.25">
      <c r="A42" s="776">
        <v>33</v>
      </c>
      <c r="B42" s="9" t="s">
        <v>857</v>
      </c>
      <c r="C42" s="785">
        <v>545</v>
      </c>
      <c r="D42" s="786">
        <v>27.25</v>
      </c>
      <c r="E42" s="785">
        <v>485.42039355992847</v>
      </c>
      <c r="F42" s="786">
        <v>21.451097392022945</v>
      </c>
      <c r="G42" s="785">
        <f t="shared" si="0"/>
        <v>59.57960644007153</v>
      </c>
      <c r="H42" s="786">
        <f t="shared" si="0"/>
        <v>5.7989026079770554</v>
      </c>
      <c r="I42" s="785">
        <f t="shared" si="1"/>
        <v>0</v>
      </c>
      <c r="J42" s="786">
        <f t="shared" si="1"/>
        <v>0</v>
      </c>
      <c r="K42" s="787">
        <v>0</v>
      </c>
      <c r="L42">
        <v>24</v>
      </c>
      <c r="M42" s="908">
        <v>547</v>
      </c>
      <c r="N42">
        <v>2</v>
      </c>
      <c r="O42" s="908">
        <f t="shared" si="5"/>
        <v>545</v>
      </c>
      <c r="P42">
        <v>5000</v>
      </c>
      <c r="Q42">
        <f t="shared" si="2"/>
        <v>2725000</v>
      </c>
      <c r="R42">
        <f t="shared" si="3"/>
        <v>27.25</v>
      </c>
      <c r="S42" s="694">
        <f t="shared" si="4"/>
        <v>5.7989026079770554</v>
      </c>
    </row>
    <row r="43" spans="1:19">
      <c r="A43" s="762" t="s">
        <v>18</v>
      </c>
      <c r="B43" s="29"/>
      <c r="C43" s="576">
        <f>SUM(C10:C42)</f>
        <v>29868</v>
      </c>
      <c r="D43" s="592">
        <f>SUM(D10:D42)</f>
        <v>1493.3999999999999</v>
      </c>
      <c r="E43" s="576">
        <f>SUM(E10:E42)</f>
        <v>27000</v>
      </c>
      <c r="F43" s="592">
        <f t="shared" ref="F43:J43" si="6">SUM(F10:F42)</f>
        <v>1195.273193495856</v>
      </c>
      <c r="G43" s="576">
        <f t="shared" si="6"/>
        <v>2867.9999999999995</v>
      </c>
      <c r="H43" s="592">
        <f t="shared" si="6"/>
        <v>298.12680650414427</v>
      </c>
      <c r="I43" s="576">
        <f t="shared" si="6"/>
        <v>0</v>
      </c>
      <c r="J43" s="592">
        <f t="shared" si="6"/>
        <v>0</v>
      </c>
      <c r="K43" s="576">
        <f>SUM(K10:K42)</f>
        <v>0</v>
      </c>
      <c r="L43" s="576">
        <f t="shared" ref="L43" si="7">SUM(L10:L42)</f>
        <v>762</v>
      </c>
      <c r="M43" s="576">
        <f>SUM(M10:M42)</f>
        <v>29904</v>
      </c>
      <c r="N43" s="576">
        <f>SUM(N10:N42)</f>
        <v>36</v>
      </c>
      <c r="O43" s="576">
        <f>SUM(O10:O42)</f>
        <v>29868</v>
      </c>
      <c r="P43" s="576">
        <f t="shared" ref="P43:R43" si="8">SUM(P10:P42)</f>
        <v>165000</v>
      </c>
      <c r="Q43" s="576">
        <f t="shared" si="8"/>
        <v>149340000</v>
      </c>
      <c r="R43" s="576">
        <f t="shared" si="8"/>
        <v>1493.3999999999999</v>
      </c>
    </row>
    <row r="44" spans="1:19">
      <c r="G44" s="908"/>
    </row>
    <row r="45" spans="1:19">
      <c r="A45" s="11" t="s">
        <v>42</v>
      </c>
      <c r="B45" s="13"/>
      <c r="C45" s="13"/>
      <c r="D45" s="13"/>
      <c r="E45" s="13"/>
      <c r="F45" s="13"/>
    </row>
    <row r="46" spans="1:19">
      <c r="F46" s="908"/>
      <c r="G46" s="908"/>
      <c r="H46" s="908"/>
    </row>
    <row r="47" spans="1:19">
      <c r="B47" s="908"/>
      <c r="C47" s="908"/>
      <c r="G47" s="908"/>
    </row>
    <row r="48" spans="1:19" ht="15.75">
      <c r="C48" s="1187"/>
      <c r="D48" s="1187"/>
      <c r="E48" s="1187"/>
      <c r="F48" s="1187"/>
      <c r="G48" s="908"/>
      <c r="H48" s="735"/>
    </row>
    <row r="49" spans="1:15" s="994" customFormat="1" ht="15.75" customHeight="1">
      <c r="A49" s="15" t="s">
        <v>12</v>
      </c>
      <c r="B49" s="15"/>
      <c r="C49" s="15"/>
      <c r="I49" s="1040" t="s">
        <v>1106</v>
      </c>
      <c r="J49" s="1040"/>
      <c r="K49" s="1040"/>
    </row>
    <row r="50" spans="1:15" s="994" customFormat="1" ht="15.6" customHeight="1">
      <c r="I50" s="1040" t="s">
        <v>481</v>
      </c>
      <c r="J50" s="1040"/>
      <c r="K50" s="1040"/>
    </row>
    <row r="51" spans="1:15" s="994" customFormat="1" ht="15.6" customHeight="1">
      <c r="I51" s="1040" t="s">
        <v>1107</v>
      </c>
      <c r="J51" s="1040"/>
      <c r="K51" s="1040"/>
    </row>
    <row r="52" spans="1:15" s="437" customFormat="1">
      <c r="A52" s="995"/>
      <c r="B52" s="995"/>
      <c r="C52" s="995"/>
      <c r="D52" s="995"/>
      <c r="E52" s="995"/>
      <c r="F52" s="619"/>
      <c r="G52" s="619"/>
      <c r="H52" s="619"/>
      <c r="I52" s="619"/>
      <c r="J52" s="619"/>
      <c r="K52" s="619"/>
      <c r="L52" s="619"/>
      <c r="M52" s="610"/>
      <c r="N52" s="610"/>
      <c r="O52" s="610"/>
    </row>
    <row r="53" spans="1:15" s="994" customFormat="1" ht="13.15" customHeight="1">
      <c r="A53" s="15"/>
    </row>
    <row r="54" spans="1:15">
      <c r="F54" s="828"/>
      <c r="G54" s="694"/>
    </row>
    <row r="57" spans="1:15">
      <c r="I57" s="828"/>
      <c r="J57" s="828"/>
    </row>
  </sheetData>
  <mergeCells count="19">
    <mergeCell ref="A5:B5"/>
    <mergeCell ref="I5:K5"/>
    <mergeCell ref="K7:K8"/>
    <mergeCell ref="C6:J6"/>
    <mergeCell ref="A7:A8"/>
    <mergeCell ref="B7:B8"/>
    <mergeCell ref="C7:D7"/>
    <mergeCell ref="E7:F7"/>
    <mergeCell ref="G7:H7"/>
    <mergeCell ref="D1:E1"/>
    <mergeCell ref="J1:K1"/>
    <mergeCell ref="A2:J2"/>
    <mergeCell ref="A3:J3"/>
    <mergeCell ref="A4:L4"/>
    <mergeCell ref="C48:F48"/>
    <mergeCell ref="I7:J7"/>
    <mergeCell ref="I49:K49"/>
    <mergeCell ref="I50:K50"/>
    <mergeCell ref="I51:K51"/>
  </mergeCells>
  <printOptions horizontalCentered="1"/>
  <pageMargins left="0.70866141732283472" right="0.70866141732283472" top="0.63" bottom="0" header="0.79" footer="0.31496062992125984"/>
  <pageSetup paperSize="9" scale="87"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N48"/>
  <sheetViews>
    <sheetView topLeftCell="A34" zoomScaleSheetLayoutView="100" workbookViewId="0">
      <selection activeCell="E13" sqref="E13"/>
    </sheetView>
  </sheetViews>
  <sheetFormatPr defaultRowHeight="12.75"/>
  <cols>
    <col min="1" max="1" width="7.140625" customWidth="1"/>
    <col min="2" max="2" width="14.85546875" customWidth="1"/>
    <col min="3" max="3" width="14.5703125" customWidth="1"/>
    <col min="4" max="4" width="16.5703125" style="235" customWidth="1"/>
    <col min="5" max="7" width="18.42578125" style="235" customWidth="1"/>
  </cols>
  <sheetData>
    <row r="1" spans="1:14">
      <c r="G1" s="238" t="s">
        <v>515</v>
      </c>
    </row>
    <row r="2" spans="1:14" ht="18">
      <c r="A2" s="1176" t="s">
        <v>0</v>
      </c>
      <c r="B2" s="1176"/>
      <c r="C2" s="1176"/>
      <c r="D2" s="1176"/>
      <c r="E2" s="1176"/>
      <c r="F2" s="1176"/>
      <c r="G2" s="1176"/>
      <c r="H2" s="202"/>
      <c r="I2" s="202"/>
      <c r="J2" s="202"/>
      <c r="K2" s="202"/>
      <c r="L2" s="202"/>
      <c r="M2" s="202"/>
      <c r="N2" s="202"/>
    </row>
    <row r="3" spans="1:14" ht="21">
      <c r="A3" s="1375" t="s">
        <v>636</v>
      </c>
      <c r="B3" s="1375"/>
      <c r="C3" s="1375"/>
      <c r="D3" s="1375"/>
      <c r="E3" s="1375"/>
      <c r="F3" s="1375"/>
      <c r="G3" s="1375"/>
      <c r="H3" s="203"/>
      <c r="I3" s="203"/>
      <c r="J3" s="203"/>
      <c r="K3" s="203"/>
      <c r="L3" s="203"/>
      <c r="M3" s="203"/>
      <c r="N3" s="203"/>
    </row>
    <row r="4" spans="1:14" ht="18">
      <c r="A4" s="1376" t="s">
        <v>514</v>
      </c>
      <c r="B4" s="1376"/>
      <c r="C4" s="1376"/>
      <c r="D4" s="1376"/>
      <c r="E4" s="1376"/>
      <c r="F4" s="1376"/>
      <c r="G4" s="1376"/>
      <c r="H4" s="202"/>
      <c r="I4" s="202"/>
      <c r="J4" s="202"/>
      <c r="K4" s="202"/>
      <c r="L4" s="202"/>
      <c r="M4" s="202"/>
      <c r="N4" s="202"/>
    </row>
    <row r="5" spans="1:14" ht="15">
      <c r="A5" s="1125" t="s">
        <v>905</v>
      </c>
      <c r="B5" s="1125"/>
      <c r="C5" s="469"/>
      <c r="D5" s="470"/>
      <c r="E5" s="470"/>
      <c r="F5" s="1370" t="s">
        <v>792</v>
      </c>
      <c r="G5" s="1370"/>
      <c r="H5" s="176"/>
      <c r="I5" s="176"/>
      <c r="J5" s="176"/>
      <c r="K5" s="204"/>
      <c r="L5" s="204"/>
      <c r="M5" s="1371"/>
      <c r="N5" s="1371"/>
    </row>
    <row r="6" spans="1:14" s="338" customFormat="1" ht="31.5" customHeight="1">
      <c r="A6" s="1368" t="s">
        <v>2</v>
      </c>
      <c r="B6" s="1368" t="s">
        <v>3</v>
      </c>
      <c r="C6" s="1369" t="s">
        <v>387</v>
      </c>
      <c r="D6" s="1372" t="s">
        <v>493</v>
      </c>
      <c r="E6" s="1373"/>
      <c r="F6" s="1373"/>
      <c r="G6" s="1374"/>
    </row>
    <row r="7" spans="1:14" s="338" customFormat="1" ht="26.25" customHeight="1">
      <c r="A7" s="1368"/>
      <c r="B7" s="1368"/>
      <c r="C7" s="1369"/>
      <c r="D7" s="426" t="s">
        <v>494</v>
      </c>
      <c r="E7" s="426" t="s">
        <v>495</v>
      </c>
      <c r="F7" s="426" t="s">
        <v>496</v>
      </c>
      <c r="G7" s="426" t="s">
        <v>48</v>
      </c>
    </row>
    <row r="8" spans="1:14" s="338" customFormat="1" ht="15">
      <c r="A8" s="292">
        <v>1</v>
      </c>
      <c r="B8" s="292">
        <v>2</v>
      </c>
      <c r="C8" s="292">
        <v>3</v>
      </c>
      <c r="D8" s="257">
        <v>6</v>
      </c>
      <c r="E8" s="257">
        <v>7</v>
      </c>
      <c r="F8" s="257">
        <v>8</v>
      </c>
      <c r="G8" s="257">
        <v>9</v>
      </c>
    </row>
    <row r="9" spans="1:14">
      <c r="A9" s="8">
        <v>1</v>
      </c>
      <c r="B9" s="9" t="s">
        <v>825</v>
      </c>
      <c r="C9" s="399">
        <v>1295</v>
      </c>
      <c r="D9" s="399">
        <f>C9</f>
        <v>1295</v>
      </c>
      <c r="E9" s="428">
        <v>0</v>
      </c>
      <c r="F9" s="428">
        <v>0</v>
      </c>
      <c r="G9" s="428">
        <v>0</v>
      </c>
    </row>
    <row r="10" spans="1:14">
      <c r="A10" s="8">
        <v>2</v>
      </c>
      <c r="B10" s="9" t="s">
        <v>826</v>
      </c>
      <c r="C10" s="399">
        <v>811</v>
      </c>
      <c r="D10" s="399">
        <f t="shared" ref="D10:D41" si="0">C10</f>
        <v>811</v>
      </c>
      <c r="E10" s="428">
        <v>0</v>
      </c>
      <c r="F10" s="428">
        <v>0</v>
      </c>
      <c r="G10" s="428">
        <v>0</v>
      </c>
    </row>
    <row r="11" spans="1:14">
      <c r="A11" s="8">
        <v>3</v>
      </c>
      <c r="B11" s="9" t="s">
        <v>827</v>
      </c>
      <c r="C11" s="399">
        <v>1449</v>
      </c>
      <c r="D11" s="399">
        <f t="shared" si="0"/>
        <v>1449</v>
      </c>
      <c r="E11" s="428">
        <v>0</v>
      </c>
      <c r="F11" s="428">
        <v>0</v>
      </c>
      <c r="G11" s="428">
        <v>0</v>
      </c>
    </row>
    <row r="12" spans="1:14">
      <c r="A12" s="8">
        <v>4</v>
      </c>
      <c r="B12" s="9" t="s">
        <v>828</v>
      </c>
      <c r="C12" s="399">
        <v>1101</v>
      </c>
      <c r="D12" s="399">
        <f t="shared" si="0"/>
        <v>1101</v>
      </c>
      <c r="E12" s="428">
        <v>0</v>
      </c>
      <c r="F12" s="428">
        <v>0</v>
      </c>
      <c r="G12" s="428">
        <v>0</v>
      </c>
    </row>
    <row r="13" spans="1:14">
      <c r="A13" s="8">
        <v>5</v>
      </c>
      <c r="B13" s="9" t="s">
        <v>829</v>
      </c>
      <c r="C13" s="399">
        <v>2551</v>
      </c>
      <c r="D13" s="399">
        <f t="shared" si="0"/>
        <v>2551</v>
      </c>
      <c r="E13" s="428">
        <v>0</v>
      </c>
      <c r="F13" s="428">
        <v>0</v>
      </c>
      <c r="G13" s="428">
        <v>0</v>
      </c>
    </row>
    <row r="14" spans="1:14">
      <c r="A14" s="8">
        <v>6</v>
      </c>
      <c r="B14" s="9" t="s">
        <v>830</v>
      </c>
      <c r="C14" s="399">
        <v>990</v>
      </c>
      <c r="D14" s="399">
        <f t="shared" si="0"/>
        <v>990</v>
      </c>
      <c r="E14" s="428">
        <v>0</v>
      </c>
      <c r="F14" s="428">
        <v>0</v>
      </c>
      <c r="G14" s="428">
        <v>0</v>
      </c>
    </row>
    <row r="15" spans="1:14">
      <c r="A15" s="8">
        <v>7</v>
      </c>
      <c r="B15" s="9" t="s">
        <v>831</v>
      </c>
      <c r="C15" s="399">
        <v>700</v>
      </c>
      <c r="D15" s="399">
        <f t="shared" si="0"/>
        <v>700</v>
      </c>
      <c r="E15" s="428">
        <v>0</v>
      </c>
      <c r="F15" s="428">
        <v>0</v>
      </c>
      <c r="G15" s="428">
        <v>0</v>
      </c>
    </row>
    <row r="16" spans="1:14">
      <c r="A16" s="8">
        <v>8</v>
      </c>
      <c r="B16" s="9" t="s">
        <v>832</v>
      </c>
      <c r="C16" s="399">
        <v>1051</v>
      </c>
      <c r="D16" s="399">
        <f t="shared" si="0"/>
        <v>1051</v>
      </c>
      <c r="E16" s="428">
        <v>0</v>
      </c>
      <c r="F16" s="428">
        <v>0</v>
      </c>
      <c r="G16" s="428">
        <v>0</v>
      </c>
    </row>
    <row r="17" spans="1:8">
      <c r="A17" s="8">
        <v>9</v>
      </c>
      <c r="B17" s="9" t="s">
        <v>833</v>
      </c>
      <c r="C17" s="399">
        <v>1791</v>
      </c>
      <c r="D17" s="399">
        <f t="shared" si="0"/>
        <v>1791</v>
      </c>
      <c r="E17" s="428">
        <v>0</v>
      </c>
      <c r="F17" s="428">
        <v>0</v>
      </c>
      <c r="G17" s="428">
        <v>0</v>
      </c>
    </row>
    <row r="18" spans="1:8">
      <c r="A18" s="8">
        <v>10</v>
      </c>
      <c r="B18" s="9" t="s">
        <v>834</v>
      </c>
      <c r="C18" s="399">
        <v>432</v>
      </c>
      <c r="D18" s="399">
        <f t="shared" si="0"/>
        <v>432</v>
      </c>
      <c r="E18" s="428">
        <v>0</v>
      </c>
      <c r="F18" s="428">
        <v>0</v>
      </c>
      <c r="G18" s="428">
        <v>0</v>
      </c>
    </row>
    <row r="19" spans="1:8">
      <c r="A19" s="8">
        <v>11</v>
      </c>
      <c r="B19" s="9" t="s">
        <v>835</v>
      </c>
      <c r="C19" s="399">
        <v>629</v>
      </c>
      <c r="D19" s="399">
        <f t="shared" si="0"/>
        <v>629</v>
      </c>
      <c r="E19" s="428">
        <v>0</v>
      </c>
      <c r="F19" s="428">
        <v>0</v>
      </c>
      <c r="G19" s="428">
        <v>0</v>
      </c>
    </row>
    <row r="20" spans="1:8">
      <c r="A20" s="8">
        <v>12</v>
      </c>
      <c r="B20" s="9" t="s">
        <v>836</v>
      </c>
      <c r="C20" s="399">
        <v>1459</v>
      </c>
      <c r="D20" s="399">
        <f t="shared" si="0"/>
        <v>1459</v>
      </c>
      <c r="E20" s="428">
        <v>0</v>
      </c>
      <c r="F20" s="428">
        <v>0</v>
      </c>
      <c r="G20" s="428">
        <v>0</v>
      </c>
    </row>
    <row r="21" spans="1:8">
      <c r="A21" s="8">
        <v>13</v>
      </c>
      <c r="B21" s="9" t="s">
        <v>837</v>
      </c>
      <c r="C21" s="399">
        <v>1734</v>
      </c>
      <c r="D21" s="399">
        <f t="shared" si="0"/>
        <v>1734</v>
      </c>
      <c r="E21" s="428">
        <v>0</v>
      </c>
      <c r="F21" s="428">
        <v>0</v>
      </c>
      <c r="G21" s="428">
        <v>0</v>
      </c>
    </row>
    <row r="22" spans="1:8">
      <c r="A22" s="8">
        <v>14</v>
      </c>
      <c r="B22" s="9" t="s">
        <v>838</v>
      </c>
      <c r="C22" s="399">
        <v>794</v>
      </c>
      <c r="D22" s="399">
        <f t="shared" si="0"/>
        <v>794</v>
      </c>
      <c r="E22" s="428">
        <v>0</v>
      </c>
      <c r="F22" s="428">
        <v>0</v>
      </c>
      <c r="G22" s="428">
        <v>0</v>
      </c>
    </row>
    <row r="23" spans="1:8">
      <c r="A23" s="8">
        <v>15</v>
      </c>
      <c r="B23" s="9" t="s">
        <v>839</v>
      </c>
      <c r="C23" s="399">
        <v>824</v>
      </c>
      <c r="D23" s="399">
        <f t="shared" si="0"/>
        <v>824</v>
      </c>
      <c r="E23" s="428">
        <v>0</v>
      </c>
      <c r="F23" s="428">
        <v>0</v>
      </c>
      <c r="G23" s="428">
        <v>0</v>
      </c>
    </row>
    <row r="24" spans="1:8">
      <c r="A24" s="8">
        <v>16</v>
      </c>
      <c r="B24" s="9" t="s">
        <v>840</v>
      </c>
      <c r="C24" s="399">
        <v>335</v>
      </c>
      <c r="D24" s="399">
        <f t="shared" si="0"/>
        <v>335</v>
      </c>
      <c r="E24" s="428">
        <v>0</v>
      </c>
      <c r="F24" s="428">
        <v>0</v>
      </c>
      <c r="G24" s="428">
        <v>0</v>
      </c>
    </row>
    <row r="25" spans="1:8">
      <c r="A25" s="8">
        <v>17</v>
      </c>
      <c r="B25" s="9" t="s">
        <v>841</v>
      </c>
      <c r="C25" s="399">
        <v>1102</v>
      </c>
      <c r="D25" s="399">
        <f t="shared" si="0"/>
        <v>1102</v>
      </c>
      <c r="E25" s="428">
        <v>0</v>
      </c>
      <c r="F25" s="428">
        <v>0</v>
      </c>
      <c r="G25" s="428">
        <v>0</v>
      </c>
    </row>
    <row r="26" spans="1:8">
      <c r="A26" s="8">
        <v>18</v>
      </c>
      <c r="B26" s="9" t="s">
        <v>842</v>
      </c>
      <c r="C26" s="399">
        <v>855</v>
      </c>
      <c r="D26" s="399">
        <f t="shared" si="0"/>
        <v>855</v>
      </c>
      <c r="E26" s="428">
        <v>0</v>
      </c>
      <c r="F26" s="428">
        <v>0</v>
      </c>
      <c r="G26" s="428">
        <v>0</v>
      </c>
    </row>
    <row r="27" spans="1:8">
      <c r="A27" s="8">
        <v>19</v>
      </c>
      <c r="B27" s="9" t="s">
        <v>843</v>
      </c>
      <c r="C27" s="399">
        <v>1037</v>
      </c>
      <c r="D27" s="399">
        <f t="shared" si="0"/>
        <v>1037</v>
      </c>
      <c r="E27" s="428">
        <v>0</v>
      </c>
      <c r="F27" s="428">
        <v>0</v>
      </c>
      <c r="G27" s="428">
        <v>0</v>
      </c>
    </row>
    <row r="28" spans="1:8">
      <c r="A28" s="8">
        <v>20</v>
      </c>
      <c r="B28" s="9" t="s">
        <v>844</v>
      </c>
      <c r="C28" s="399">
        <v>1317</v>
      </c>
      <c r="D28" s="399">
        <f t="shared" si="0"/>
        <v>1317</v>
      </c>
      <c r="E28" s="428">
        <v>0</v>
      </c>
      <c r="F28" s="428">
        <v>0</v>
      </c>
      <c r="G28" s="428">
        <v>0</v>
      </c>
      <c r="H28" s="247"/>
    </row>
    <row r="29" spans="1:8" ht="12.75" customHeight="1">
      <c r="A29" s="8">
        <v>21</v>
      </c>
      <c r="B29" s="9" t="s">
        <v>845</v>
      </c>
      <c r="C29" s="399">
        <v>1372</v>
      </c>
      <c r="D29" s="399">
        <f t="shared" si="0"/>
        <v>1372</v>
      </c>
      <c r="E29" s="428">
        <v>0</v>
      </c>
      <c r="F29" s="428">
        <v>0</v>
      </c>
      <c r="G29" s="428">
        <v>0</v>
      </c>
      <c r="H29" s="247"/>
    </row>
    <row r="30" spans="1:8" ht="12.75" customHeight="1">
      <c r="A30" s="8">
        <v>22</v>
      </c>
      <c r="B30" s="9" t="s">
        <v>846</v>
      </c>
      <c r="C30" s="399">
        <v>910</v>
      </c>
      <c r="D30" s="399">
        <f t="shared" si="0"/>
        <v>910</v>
      </c>
      <c r="E30" s="428">
        <v>0</v>
      </c>
      <c r="F30" s="428">
        <v>0</v>
      </c>
      <c r="G30" s="428">
        <v>0</v>
      </c>
      <c r="H30" s="247"/>
    </row>
    <row r="31" spans="1:8">
      <c r="A31" s="8">
        <v>23</v>
      </c>
      <c r="B31" s="9" t="s">
        <v>847</v>
      </c>
      <c r="C31" s="399">
        <v>1244</v>
      </c>
      <c r="D31" s="399">
        <f t="shared" si="0"/>
        <v>1244</v>
      </c>
      <c r="E31" s="428">
        <v>0</v>
      </c>
      <c r="F31" s="428">
        <v>0</v>
      </c>
      <c r="G31" s="428">
        <v>0</v>
      </c>
      <c r="H31" s="246"/>
    </row>
    <row r="32" spans="1:8">
      <c r="A32" s="8">
        <v>24</v>
      </c>
      <c r="B32" s="9" t="s">
        <v>848</v>
      </c>
      <c r="C32" s="399">
        <v>1008</v>
      </c>
      <c r="D32" s="399">
        <f t="shared" si="0"/>
        <v>1008</v>
      </c>
      <c r="E32" s="428">
        <v>0</v>
      </c>
      <c r="F32" s="428">
        <v>0</v>
      </c>
      <c r="G32" s="428">
        <v>0</v>
      </c>
    </row>
    <row r="33" spans="1:9">
      <c r="A33" s="8">
        <v>25</v>
      </c>
      <c r="B33" s="9" t="s">
        <v>849</v>
      </c>
      <c r="C33" s="399">
        <v>771</v>
      </c>
      <c r="D33" s="399">
        <f t="shared" si="0"/>
        <v>771</v>
      </c>
      <c r="E33" s="428">
        <v>0</v>
      </c>
      <c r="F33" s="428">
        <v>0</v>
      </c>
      <c r="G33" s="428">
        <v>0</v>
      </c>
    </row>
    <row r="34" spans="1:9">
      <c r="A34" s="8">
        <v>26</v>
      </c>
      <c r="B34" s="9" t="s">
        <v>850</v>
      </c>
      <c r="C34" s="399">
        <v>819</v>
      </c>
      <c r="D34" s="399">
        <f t="shared" si="0"/>
        <v>819</v>
      </c>
      <c r="E34" s="428">
        <v>0</v>
      </c>
      <c r="F34" s="428">
        <v>0</v>
      </c>
      <c r="G34" s="428">
        <v>0</v>
      </c>
    </row>
    <row r="35" spans="1:9">
      <c r="A35" s="8">
        <v>27</v>
      </c>
      <c r="B35" s="9" t="s">
        <v>851</v>
      </c>
      <c r="C35" s="399">
        <v>1281</v>
      </c>
      <c r="D35" s="399">
        <f t="shared" si="0"/>
        <v>1281</v>
      </c>
      <c r="E35" s="428">
        <v>0</v>
      </c>
      <c r="F35" s="428">
        <v>0</v>
      </c>
      <c r="G35" s="428">
        <v>0</v>
      </c>
    </row>
    <row r="36" spans="1:9">
      <c r="A36" s="8">
        <v>28</v>
      </c>
      <c r="B36" s="9" t="s">
        <v>852</v>
      </c>
      <c r="C36" s="399">
        <v>261</v>
      </c>
      <c r="D36" s="399">
        <f t="shared" si="0"/>
        <v>261</v>
      </c>
      <c r="E36" s="428">
        <v>0</v>
      </c>
      <c r="F36" s="428">
        <v>0</v>
      </c>
      <c r="G36" s="428">
        <v>0</v>
      </c>
    </row>
    <row r="37" spans="1:9">
      <c r="A37" s="8">
        <v>29</v>
      </c>
      <c r="B37" s="9" t="s">
        <v>853</v>
      </c>
      <c r="C37" s="399">
        <v>1293</v>
      </c>
      <c r="D37" s="399">
        <f t="shared" si="0"/>
        <v>1293</v>
      </c>
      <c r="E37" s="428">
        <v>0</v>
      </c>
      <c r="F37" s="428">
        <v>0</v>
      </c>
      <c r="G37" s="428">
        <v>0</v>
      </c>
    </row>
    <row r="38" spans="1:9">
      <c r="A38" s="8">
        <v>30</v>
      </c>
      <c r="B38" s="9" t="s">
        <v>854</v>
      </c>
      <c r="C38" s="399">
        <v>661</v>
      </c>
      <c r="D38" s="399">
        <f t="shared" si="0"/>
        <v>661</v>
      </c>
      <c r="E38" s="428">
        <v>0</v>
      </c>
      <c r="F38" s="428">
        <v>0</v>
      </c>
      <c r="G38" s="428">
        <v>0</v>
      </c>
    </row>
    <row r="39" spans="1:9">
      <c r="A39" s="8">
        <v>31</v>
      </c>
      <c r="B39" s="9" t="s">
        <v>855</v>
      </c>
      <c r="C39" s="399">
        <v>594</v>
      </c>
      <c r="D39" s="399">
        <f t="shared" si="0"/>
        <v>594</v>
      </c>
      <c r="E39" s="428">
        <v>0</v>
      </c>
      <c r="F39" s="428">
        <v>0</v>
      </c>
      <c r="G39" s="428">
        <v>0</v>
      </c>
    </row>
    <row r="40" spans="1:9">
      <c r="A40" s="8">
        <v>32</v>
      </c>
      <c r="B40" s="9" t="s">
        <v>856</v>
      </c>
      <c r="C40" s="399">
        <v>1241</v>
      </c>
      <c r="D40" s="399">
        <f t="shared" si="0"/>
        <v>1241</v>
      </c>
      <c r="E40" s="428">
        <v>0</v>
      </c>
      <c r="F40" s="428">
        <v>0</v>
      </c>
      <c r="G40" s="428">
        <v>0</v>
      </c>
    </row>
    <row r="41" spans="1:9">
      <c r="A41" s="8">
        <v>33</v>
      </c>
      <c r="B41" s="9" t="s">
        <v>857</v>
      </c>
      <c r="C41" s="399">
        <v>595</v>
      </c>
      <c r="D41" s="399">
        <f t="shared" si="0"/>
        <v>595</v>
      </c>
      <c r="E41" s="428">
        <v>0</v>
      </c>
      <c r="F41" s="428">
        <v>0</v>
      </c>
      <c r="G41" s="428">
        <v>0</v>
      </c>
    </row>
    <row r="42" spans="1:9">
      <c r="A42" s="427" t="s">
        <v>18</v>
      </c>
      <c r="B42" s="427"/>
      <c r="C42" s="429">
        <f>SUM(C9:C41)</f>
        <v>34307</v>
      </c>
      <c r="D42" s="429">
        <f>SUM(D9:D41)</f>
        <v>34307</v>
      </c>
      <c r="E42" s="428">
        <v>0</v>
      </c>
      <c r="F42" s="428">
        <v>0</v>
      </c>
      <c r="G42" s="428">
        <v>0</v>
      </c>
    </row>
    <row r="43" spans="1:9">
      <c r="A43" s="246"/>
      <c r="B43" s="246"/>
      <c r="C43" s="246"/>
      <c r="D43" s="247"/>
    </row>
    <row r="44" spans="1:9" ht="15" customHeight="1">
      <c r="A44" s="246"/>
      <c r="B44" s="246"/>
      <c r="C44" s="246"/>
      <c r="D44" s="247"/>
    </row>
    <row r="45" spans="1:9" s="994" customFormat="1" ht="15.75" customHeight="1">
      <c r="A45" s="15" t="s">
        <v>12</v>
      </c>
      <c r="B45" s="15"/>
      <c r="C45" s="15"/>
      <c r="F45" s="1040" t="s">
        <v>1106</v>
      </c>
      <c r="G45" s="1040"/>
      <c r="H45" s="998"/>
      <c r="I45" s="998"/>
    </row>
    <row r="46" spans="1:9" s="994" customFormat="1" ht="15.6" customHeight="1">
      <c r="F46" s="1040" t="s">
        <v>481</v>
      </c>
      <c r="G46" s="1040"/>
      <c r="H46" s="998"/>
      <c r="I46" s="998"/>
    </row>
    <row r="47" spans="1:9" s="994" customFormat="1" ht="15.6" customHeight="1">
      <c r="F47" s="1040" t="s">
        <v>1107</v>
      </c>
      <c r="G47" s="1040"/>
      <c r="H47" s="998"/>
      <c r="I47" s="998"/>
    </row>
    <row r="48" spans="1:9">
      <c r="E48" s="1367"/>
      <c r="F48" s="1367"/>
      <c r="G48" s="1367"/>
    </row>
  </sheetData>
  <mergeCells count="14">
    <mergeCell ref="A5:B5"/>
    <mergeCell ref="F5:G5"/>
    <mergeCell ref="M5:N5"/>
    <mergeCell ref="D6:G6"/>
    <mergeCell ref="A2:G2"/>
    <mergeCell ref="A3:G3"/>
    <mergeCell ref="A4:G4"/>
    <mergeCell ref="F45:G45"/>
    <mergeCell ref="F46:G46"/>
    <mergeCell ref="F47:G47"/>
    <mergeCell ref="E48:G48"/>
    <mergeCell ref="A6:A7"/>
    <mergeCell ref="B6:B7"/>
    <mergeCell ref="C6:C7"/>
  </mergeCells>
  <printOptions horizontalCentered="1"/>
  <pageMargins left="0.70866141732283472" right="0.70866141732283472" top="0.63" bottom="0" header="0.79" footer="0.31496062992125984"/>
  <pageSetup paperSize="9"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T64"/>
  <sheetViews>
    <sheetView topLeftCell="A50" zoomScale="80" zoomScaleNormal="80" zoomScaleSheetLayoutView="86" workbookViewId="0">
      <selection activeCell="Q61" sqref="Q61:S64"/>
    </sheetView>
  </sheetViews>
  <sheetFormatPr defaultColWidth="9.28515625" defaultRowHeight="12.75"/>
  <cols>
    <col min="1" max="1" width="9.28515625" style="15" customWidth="1"/>
    <col min="2" max="5" width="8.42578125" style="15" customWidth="1"/>
    <col min="6" max="6" width="9.42578125" style="15" customWidth="1"/>
    <col min="7" max="7" width="8.42578125" style="15" customWidth="1"/>
    <col min="8" max="8" width="11.7109375" style="15" customWidth="1"/>
    <col min="9" max="19" width="8.42578125" style="15" customWidth="1"/>
    <col min="20" max="16384" width="9.28515625" style="15"/>
  </cols>
  <sheetData>
    <row r="1" spans="1:19">
      <c r="A1" s="15" t="s">
        <v>11</v>
      </c>
      <c r="H1" s="1114"/>
      <c r="I1" s="1114"/>
      <c r="R1" s="1110" t="s">
        <v>57</v>
      </c>
      <c r="S1" s="1110"/>
    </row>
    <row r="2" spans="1:19" s="14" customFormat="1" ht="15.75">
      <c r="A2" s="1111" t="s">
        <v>0</v>
      </c>
      <c r="B2" s="1111"/>
      <c r="C2" s="1111"/>
      <c r="D2" s="1111"/>
      <c r="E2" s="1111"/>
      <c r="F2" s="1111"/>
      <c r="G2" s="1111"/>
      <c r="H2" s="1111"/>
      <c r="I2" s="1111"/>
      <c r="J2" s="1111"/>
      <c r="K2" s="1111"/>
      <c r="L2" s="1111"/>
      <c r="M2" s="1111"/>
      <c r="N2" s="1111"/>
      <c r="O2" s="1111"/>
      <c r="P2" s="1111"/>
      <c r="Q2" s="1111"/>
      <c r="R2" s="1111"/>
      <c r="S2" s="1111"/>
    </row>
    <row r="3" spans="1:19" s="14" customFormat="1" ht="20.25" customHeight="1">
      <c r="A3" s="1112" t="s">
        <v>636</v>
      </c>
      <c r="B3" s="1112"/>
      <c r="C3" s="1112"/>
      <c r="D3" s="1112"/>
      <c r="E3" s="1112"/>
      <c r="F3" s="1112"/>
      <c r="G3" s="1112"/>
      <c r="H3" s="1112"/>
      <c r="I3" s="1112"/>
      <c r="J3" s="1112"/>
      <c r="K3" s="1112"/>
      <c r="L3" s="1112"/>
      <c r="M3" s="1112"/>
      <c r="N3" s="1112"/>
      <c r="O3" s="1112"/>
      <c r="P3" s="1112"/>
      <c r="Q3" s="1112"/>
      <c r="R3" s="1112"/>
      <c r="S3" s="1112"/>
    </row>
    <row r="5" spans="1:19" s="14" customFormat="1" ht="15.75">
      <c r="A5" s="1113" t="s">
        <v>637</v>
      </c>
      <c r="B5" s="1113"/>
      <c r="C5" s="1113"/>
      <c r="D5" s="1113"/>
      <c r="E5" s="1113"/>
      <c r="F5" s="1113"/>
      <c r="G5" s="1113"/>
      <c r="H5" s="1113"/>
      <c r="I5" s="1113"/>
      <c r="J5" s="1113"/>
      <c r="K5" s="1113"/>
      <c r="L5" s="1113"/>
      <c r="M5" s="1113"/>
      <c r="N5" s="1113"/>
      <c r="O5" s="1113"/>
      <c r="P5" s="1113"/>
      <c r="Q5" s="1113"/>
      <c r="R5" s="1113"/>
      <c r="S5" s="1113"/>
    </row>
    <row r="6" spans="1:19">
      <c r="A6" s="1092" t="s">
        <v>1022</v>
      </c>
      <c r="B6" s="1092"/>
    </row>
    <row r="7" spans="1:19">
      <c r="A7" s="1092" t="s">
        <v>170</v>
      </c>
      <c r="B7" s="1092"/>
      <c r="C7" s="1092"/>
      <c r="D7" s="1092"/>
      <c r="E7" s="1092"/>
      <c r="F7" s="1092"/>
      <c r="G7" s="1092"/>
      <c r="H7" s="1092"/>
      <c r="I7" s="1092"/>
      <c r="R7" s="30"/>
      <c r="S7" s="30"/>
    </row>
    <row r="9" spans="1:19" ht="18" customHeight="1">
      <c r="A9" s="5"/>
      <c r="B9" s="1083" t="s">
        <v>44</v>
      </c>
      <c r="C9" s="1083"/>
      <c r="D9" s="1083" t="s">
        <v>45</v>
      </c>
      <c r="E9" s="1083"/>
      <c r="F9" s="1083" t="s">
        <v>46</v>
      </c>
      <c r="G9" s="1083"/>
      <c r="H9" s="1115" t="s">
        <v>47</v>
      </c>
      <c r="I9" s="1115"/>
      <c r="J9" s="1083" t="s">
        <v>48</v>
      </c>
      <c r="K9" s="1083"/>
      <c r="L9" s="26" t="s">
        <v>18</v>
      </c>
    </row>
    <row r="10" spans="1:19" s="62" customFormat="1" ht="13.5" customHeight="1">
      <c r="A10" s="64">
        <v>1</v>
      </c>
      <c r="B10" s="1084">
        <v>2</v>
      </c>
      <c r="C10" s="1084"/>
      <c r="D10" s="1084">
        <v>3</v>
      </c>
      <c r="E10" s="1084"/>
      <c r="F10" s="1084">
        <v>4</v>
      </c>
      <c r="G10" s="1084"/>
      <c r="H10" s="1084">
        <v>5</v>
      </c>
      <c r="I10" s="1084"/>
      <c r="J10" s="1084">
        <v>6</v>
      </c>
      <c r="K10" s="1084"/>
      <c r="L10" s="64">
        <v>7</v>
      </c>
    </row>
    <row r="11" spans="1:19">
      <c r="A11" s="3" t="s">
        <v>49</v>
      </c>
      <c r="B11" s="1085">
        <v>3795</v>
      </c>
      <c r="C11" s="1085"/>
      <c r="D11" s="1085">
        <v>6222</v>
      </c>
      <c r="E11" s="1085"/>
      <c r="F11" s="1085">
        <v>12116</v>
      </c>
      <c r="G11" s="1085"/>
      <c r="H11" s="1093">
        <v>0</v>
      </c>
      <c r="I11" s="1094"/>
      <c r="J11" s="1085">
        <v>7282</v>
      </c>
      <c r="K11" s="1085"/>
      <c r="L11" s="547">
        <f>SUM(B11:K11)</f>
        <v>29415</v>
      </c>
    </row>
    <row r="12" spans="1:19">
      <c r="A12" s="3" t="s">
        <v>50</v>
      </c>
      <c r="B12" s="1085">
        <v>7092</v>
      </c>
      <c r="C12" s="1085"/>
      <c r="D12" s="1085">
        <v>16320</v>
      </c>
      <c r="E12" s="1085"/>
      <c r="F12" s="1085">
        <v>31589</v>
      </c>
      <c r="G12" s="1085"/>
      <c r="H12" s="1093">
        <v>0</v>
      </c>
      <c r="I12" s="1094"/>
      <c r="J12" s="1085">
        <v>11913</v>
      </c>
      <c r="K12" s="1085"/>
      <c r="L12" s="547">
        <f>SUM(B12:K12)</f>
        <v>66914</v>
      </c>
    </row>
    <row r="13" spans="1:19">
      <c r="A13" s="3" t="s">
        <v>18</v>
      </c>
      <c r="B13" s="1086">
        <f>SUM(B11:C12)</f>
        <v>10887</v>
      </c>
      <c r="C13" s="1086"/>
      <c r="D13" s="1086">
        <f>SUM(D11:E12)</f>
        <v>22542</v>
      </c>
      <c r="E13" s="1086"/>
      <c r="F13" s="1086">
        <f>SUM(F11:G12)</f>
        <v>43705</v>
      </c>
      <c r="G13" s="1086"/>
      <c r="H13" s="1086">
        <f>SUM(H11:I12)</f>
        <v>0</v>
      </c>
      <c r="I13" s="1086"/>
      <c r="J13" s="1086">
        <f>SUM(J11:K12)</f>
        <v>19195</v>
      </c>
      <c r="K13" s="1086"/>
      <c r="L13" s="548">
        <f>SUM(L11:L12)</f>
        <v>96329</v>
      </c>
    </row>
    <row r="14" spans="1:19">
      <c r="A14" s="12"/>
      <c r="B14" s="12"/>
      <c r="C14" s="12"/>
      <c r="D14" s="12"/>
      <c r="E14" s="12"/>
      <c r="F14" s="12"/>
      <c r="G14" s="12"/>
      <c r="H14" s="12"/>
      <c r="I14" s="12"/>
      <c r="J14" s="12"/>
      <c r="K14" s="12"/>
      <c r="L14" s="549"/>
    </row>
    <row r="15" spans="1:19">
      <c r="A15" s="1095" t="s">
        <v>428</v>
      </c>
      <c r="B15" s="1095"/>
      <c r="C15" s="1095"/>
      <c r="D15" s="1095"/>
      <c r="E15" s="1095"/>
      <c r="F15" s="1095"/>
      <c r="G15" s="1095"/>
      <c r="H15" s="12"/>
      <c r="I15" s="12"/>
      <c r="J15" s="12"/>
      <c r="K15" s="12"/>
      <c r="L15" s="12"/>
    </row>
    <row r="16" spans="1:19" ht="12.75" customHeight="1">
      <c r="A16" s="1097" t="s">
        <v>1023</v>
      </c>
      <c r="B16" s="1098"/>
      <c r="C16" s="1096" t="s">
        <v>207</v>
      </c>
      <c r="D16" s="1096"/>
      <c r="E16" s="3" t="s">
        <v>18</v>
      </c>
      <c r="I16" s="12"/>
      <c r="J16" s="12"/>
      <c r="K16" s="12"/>
      <c r="L16" s="12"/>
    </row>
    <row r="17" spans="1:20">
      <c r="A17" s="1070">
        <v>600</v>
      </c>
      <c r="B17" s="1071"/>
      <c r="C17" s="1070">
        <v>400</v>
      </c>
      <c r="D17" s="1071"/>
      <c r="E17" s="3">
        <f>C17+A17</f>
        <v>1000</v>
      </c>
      <c r="I17" s="12"/>
      <c r="J17" s="12"/>
      <c r="K17" s="12"/>
      <c r="L17" s="12"/>
    </row>
    <row r="18" spans="1:20">
      <c r="A18" s="1070"/>
      <c r="B18" s="1071"/>
      <c r="C18" s="1070"/>
      <c r="D18" s="1071"/>
      <c r="E18" s="3"/>
      <c r="I18" s="12"/>
      <c r="J18" s="12"/>
      <c r="K18" s="12"/>
      <c r="L18" s="12"/>
    </row>
    <row r="19" spans="1:20">
      <c r="A19" s="217"/>
      <c r="B19" s="217"/>
      <c r="C19" s="217"/>
      <c r="D19" s="217"/>
      <c r="E19" s="217"/>
      <c r="F19" s="217"/>
      <c r="G19" s="217"/>
      <c r="H19" s="12"/>
      <c r="I19" s="12"/>
      <c r="J19" s="12"/>
      <c r="K19" s="12"/>
      <c r="L19" s="12"/>
    </row>
    <row r="21" spans="1:20" ht="19.149999999999999" customHeight="1">
      <c r="A21" s="1099" t="s">
        <v>171</v>
      </c>
      <c r="B21" s="1099"/>
      <c r="C21" s="1099"/>
      <c r="D21" s="1099"/>
      <c r="E21" s="1099"/>
      <c r="F21" s="1099"/>
      <c r="G21" s="1099"/>
      <c r="H21" s="1099"/>
      <c r="I21" s="1099"/>
      <c r="J21" s="1099"/>
      <c r="K21" s="1099"/>
      <c r="L21" s="1099"/>
      <c r="M21" s="1099"/>
      <c r="N21" s="1099"/>
      <c r="O21" s="1099"/>
      <c r="P21" s="1099"/>
      <c r="Q21" s="1099"/>
      <c r="R21" s="1099"/>
      <c r="S21" s="1099"/>
    </row>
    <row r="22" spans="1:20">
      <c r="A22" s="1083" t="s">
        <v>25</v>
      </c>
      <c r="B22" s="1083" t="s">
        <v>51</v>
      </c>
      <c r="C22" s="1083"/>
      <c r="D22" s="1083"/>
      <c r="E22" s="1119" t="s">
        <v>26</v>
      </c>
      <c r="F22" s="1119"/>
      <c r="G22" s="1119"/>
      <c r="H22" s="1119"/>
      <c r="I22" s="1119"/>
      <c r="J22" s="1119"/>
      <c r="K22" s="1119"/>
      <c r="L22" s="1119"/>
      <c r="M22" s="1066" t="s">
        <v>27</v>
      </c>
      <c r="N22" s="1066"/>
      <c r="O22" s="1066"/>
      <c r="P22" s="1066"/>
      <c r="Q22" s="1066"/>
      <c r="R22" s="1066"/>
      <c r="S22" s="1066"/>
      <c r="T22" s="1066"/>
    </row>
    <row r="23" spans="1:20" ht="33.75" customHeight="1">
      <c r="A23" s="1083"/>
      <c r="B23" s="1083"/>
      <c r="C23" s="1083"/>
      <c r="D23" s="1083"/>
      <c r="E23" s="1090" t="s">
        <v>133</v>
      </c>
      <c r="F23" s="1091"/>
      <c r="G23" s="1090" t="s">
        <v>172</v>
      </c>
      <c r="H23" s="1091"/>
      <c r="I23" s="1083" t="s">
        <v>52</v>
      </c>
      <c r="J23" s="1083"/>
      <c r="K23" s="1090" t="s">
        <v>93</v>
      </c>
      <c r="L23" s="1091"/>
      <c r="M23" s="1090" t="s">
        <v>94</v>
      </c>
      <c r="N23" s="1091"/>
      <c r="O23" s="1090" t="s">
        <v>172</v>
      </c>
      <c r="P23" s="1091"/>
      <c r="Q23" s="1083" t="s">
        <v>52</v>
      </c>
      <c r="R23" s="1083"/>
      <c r="S23" s="1083" t="s">
        <v>93</v>
      </c>
      <c r="T23" s="1083"/>
    </row>
    <row r="24" spans="1:20" s="62" customFormat="1" ht="12.75" customHeight="1">
      <c r="A24" s="64">
        <v>1</v>
      </c>
      <c r="B24" s="1116">
        <v>2</v>
      </c>
      <c r="C24" s="1118"/>
      <c r="D24" s="1117"/>
      <c r="E24" s="1116">
        <v>3</v>
      </c>
      <c r="F24" s="1117"/>
      <c r="G24" s="1116">
        <v>4</v>
      </c>
      <c r="H24" s="1117"/>
      <c r="I24" s="1084">
        <v>5</v>
      </c>
      <c r="J24" s="1084"/>
      <c r="K24" s="1084">
        <v>6</v>
      </c>
      <c r="L24" s="1084"/>
      <c r="M24" s="1116">
        <v>3</v>
      </c>
      <c r="N24" s="1117"/>
      <c r="O24" s="1116">
        <v>4</v>
      </c>
      <c r="P24" s="1117"/>
      <c r="Q24" s="1084">
        <v>5</v>
      </c>
      <c r="R24" s="1084"/>
      <c r="S24" s="1084">
        <v>6</v>
      </c>
      <c r="T24" s="1084"/>
    </row>
    <row r="25" spans="1:20">
      <c r="A25" s="61">
        <v>1</v>
      </c>
      <c r="B25" s="1120" t="s">
        <v>1024</v>
      </c>
      <c r="C25" s="1121"/>
      <c r="D25" s="1122"/>
      <c r="E25" s="1078">
        <v>100</v>
      </c>
      <c r="F25" s="1079"/>
      <c r="G25" s="1053" t="s">
        <v>355</v>
      </c>
      <c r="H25" s="1055"/>
      <c r="I25" s="1078">
        <v>340</v>
      </c>
      <c r="J25" s="1079"/>
      <c r="K25" s="1078">
        <v>8</v>
      </c>
      <c r="L25" s="1079"/>
      <c r="M25" s="1078">
        <v>150</v>
      </c>
      <c r="N25" s="1079"/>
      <c r="O25" s="1053" t="s">
        <v>355</v>
      </c>
      <c r="P25" s="1055"/>
      <c r="Q25" s="1078">
        <v>510</v>
      </c>
      <c r="R25" s="1079"/>
      <c r="S25" s="1078">
        <v>12</v>
      </c>
      <c r="T25" s="1079"/>
    </row>
    <row r="26" spans="1:20">
      <c r="A26" s="61">
        <v>2</v>
      </c>
      <c r="B26" s="1087" t="s">
        <v>53</v>
      </c>
      <c r="C26" s="1088"/>
      <c r="D26" s="1089"/>
      <c r="E26" s="1078">
        <v>20</v>
      </c>
      <c r="F26" s="1079"/>
      <c r="G26" s="1081">
        <v>1.3</v>
      </c>
      <c r="H26" s="1082"/>
      <c r="I26" s="1078">
        <v>70</v>
      </c>
      <c r="J26" s="1079"/>
      <c r="K26" s="1078">
        <v>5</v>
      </c>
      <c r="L26" s="1079"/>
      <c r="M26" s="1078">
        <v>30</v>
      </c>
      <c r="N26" s="1079"/>
      <c r="O26" s="1081">
        <v>1.95</v>
      </c>
      <c r="P26" s="1082"/>
      <c r="Q26" s="1078">
        <v>105</v>
      </c>
      <c r="R26" s="1079"/>
      <c r="S26" s="1078">
        <v>7.5</v>
      </c>
      <c r="T26" s="1079"/>
    </row>
    <row r="27" spans="1:20">
      <c r="A27" s="61">
        <v>3</v>
      </c>
      <c r="B27" s="1087" t="s">
        <v>173</v>
      </c>
      <c r="C27" s="1088"/>
      <c r="D27" s="1089"/>
      <c r="E27" s="1058">
        <v>50</v>
      </c>
      <c r="F27" s="1059"/>
      <c r="G27" s="1062">
        <f>1.55+0.09</f>
        <v>1.6400000000000001</v>
      </c>
      <c r="H27" s="1063"/>
      <c r="I27" s="1058">
        <v>25</v>
      </c>
      <c r="J27" s="1059"/>
      <c r="K27" s="1058">
        <v>0</v>
      </c>
      <c r="L27" s="1059"/>
      <c r="M27" s="1058">
        <v>75</v>
      </c>
      <c r="N27" s="1059"/>
      <c r="O27" s="1062">
        <f>2.33+0.13</f>
        <v>2.46</v>
      </c>
      <c r="P27" s="1063"/>
      <c r="Q27" s="1058">
        <v>38</v>
      </c>
      <c r="R27" s="1059"/>
      <c r="S27" s="1058">
        <v>0</v>
      </c>
      <c r="T27" s="1059"/>
    </row>
    <row r="28" spans="1:20">
      <c r="A28" s="61">
        <v>4</v>
      </c>
      <c r="B28" s="1087" t="s">
        <v>55</v>
      </c>
      <c r="C28" s="1088"/>
      <c r="D28" s="1089"/>
      <c r="E28" s="1060"/>
      <c r="F28" s="1061"/>
      <c r="G28" s="1064"/>
      <c r="H28" s="1065"/>
      <c r="I28" s="1060"/>
      <c r="J28" s="1061"/>
      <c r="K28" s="1060"/>
      <c r="L28" s="1061"/>
      <c r="M28" s="1060"/>
      <c r="N28" s="1061"/>
      <c r="O28" s="1064"/>
      <c r="P28" s="1065"/>
      <c r="Q28" s="1060"/>
      <c r="R28" s="1061"/>
      <c r="S28" s="1060"/>
      <c r="T28" s="1061"/>
    </row>
    <row r="29" spans="1:20">
      <c r="A29" s="61">
        <v>5</v>
      </c>
      <c r="B29" s="1087" t="s">
        <v>54</v>
      </c>
      <c r="C29" s="1088"/>
      <c r="D29" s="1089"/>
      <c r="E29" s="1078">
        <v>10</v>
      </c>
      <c r="F29" s="1079"/>
      <c r="G29" s="1081">
        <v>0.45</v>
      </c>
      <c r="H29" s="1082"/>
      <c r="I29" s="1078">
        <v>90</v>
      </c>
      <c r="J29" s="1079"/>
      <c r="K29" s="1078">
        <v>0</v>
      </c>
      <c r="L29" s="1079"/>
      <c r="M29" s="1078">
        <v>10</v>
      </c>
      <c r="N29" s="1079"/>
      <c r="O29" s="1081">
        <v>0.67</v>
      </c>
      <c r="P29" s="1082"/>
      <c r="Q29" s="1078">
        <v>90</v>
      </c>
      <c r="R29" s="1079"/>
      <c r="S29" s="1078">
        <v>0</v>
      </c>
      <c r="T29" s="1079"/>
    </row>
    <row r="30" spans="1:20">
      <c r="A30" s="61">
        <v>6</v>
      </c>
      <c r="B30" s="1087" t="s">
        <v>56</v>
      </c>
      <c r="C30" s="1088"/>
      <c r="D30" s="1089"/>
      <c r="E30" s="1078">
        <v>0</v>
      </c>
      <c r="F30" s="1079"/>
      <c r="G30" s="1081">
        <v>0.74</v>
      </c>
      <c r="H30" s="1082"/>
      <c r="I30" s="1078">
        <v>0</v>
      </c>
      <c r="J30" s="1079"/>
      <c r="K30" s="1078">
        <v>0</v>
      </c>
      <c r="L30" s="1079"/>
      <c r="M30" s="1078">
        <v>0</v>
      </c>
      <c r="N30" s="1079"/>
      <c r="O30" s="1081">
        <v>1.1000000000000001</v>
      </c>
      <c r="P30" s="1082"/>
      <c r="Q30" s="1078">
        <v>0</v>
      </c>
      <c r="R30" s="1079"/>
      <c r="S30" s="1078">
        <v>0</v>
      </c>
      <c r="T30" s="1079"/>
    </row>
    <row r="31" spans="1:20">
      <c r="A31" s="61">
        <v>7</v>
      </c>
      <c r="B31" s="1125" t="s">
        <v>174</v>
      </c>
      <c r="C31" s="1125"/>
      <c r="D31" s="1125"/>
      <c r="E31" s="1078">
        <v>0</v>
      </c>
      <c r="F31" s="1079"/>
      <c r="G31" s="1080"/>
      <c r="H31" s="1080"/>
      <c r="I31" s="1078">
        <v>0</v>
      </c>
      <c r="J31" s="1079"/>
      <c r="K31" s="1078">
        <v>0</v>
      </c>
      <c r="L31" s="1079"/>
      <c r="M31" s="1078">
        <v>0</v>
      </c>
      <c r="N31" s="1079"/>
      <c r="O31" s="1080"/>
      <c r="P31" s="1080"/>
      <c r="Q31" s="1078">
        <v>0</v>
      </c>
      <c r="R31" s="1079"/>
      <c r="S31" s="1078">
        <v>0</v>
      </c>
      <c r="T31" s="1079"/>
    </row>
    <row r="32" spans="1:20">
      <c r="A32" s="61"/>
      <c r="B32" s="1083" t="s">
        <v>18</v>
      </c>
      <c r="C32" s="1083"/>
      <c r="D32" s="1083"/>
      <c r="E32" s="1053">
        <f>SUM(E25:F31)</f>
        <v>180</v>
      </c>
      <c r="F32" s="1055"/>
      <c r="G32" s="1056">
        <f>SUM(G25:H31)</f>
        <v>4.1300000000000008</v>
      </c>
      <c r="H32" s="1057"/>
      <c r="I32" s="1053">
        <f>SUM(I25:J31)</f>
        <v>525</v>
      </c>
      <c r="J32" s="1055"/>
      <c r="K32" s="1053">
        <f>SUM(K25:L31)</f>
        <v>13</v>
      </c>
      <c r="L32" s="1055"/>
      <c r="M32" s="1053">
        <f>SUM(M25:N31)</f>
        <v>265</v>
      </c>
      <c r="N32" s="1055"/>
      <c r="O32" s="1056">
        <f>SUM(O25:P31)</f>
        <v>6.18</v>
      </c>
      <c r="P32" s="1057"/>
      <c r="Q32" s="1053">
        <f>SUM(Q25:R31)</f>
        <v>743</v>
      </c>
      <c r="R32" s="1055"/>
      <c r="S32" s="1053">
        <f>SUM(S25:T31)</f>
        <v>19.5</v>
      </c>
      <c r="T32" s="1055"/>
    </row>
    <row r="33" spans="1:20">
      <c r="A33" s="106"/>
      <c r="B33" s="107"/>
      <c r="C33" s="107"/>
      <c r="D33" s="107"/>
      <c r="E33" s="138"/>
      <c r="F33" s="138"/>
      <c r="G33" s="550"/>
      <c r="H33" s="12"/>
      <c r="I33" s="138"/>
      <c r="J33" s="138"/>
      <c r="K33" s="138"/>
      <c r="L33" s="138"/>
      <c r="M33" s="12"/>
      <c r="N33" s="12"/>
      <c r="O33" s="550"/>
      <c r="P33" s="12"/>
      <c r="Q33" s="138"/>
      <c r="R33" s="138"/>
      <c r="S33" s="138"/>
      <c r="T33" s="138"/>
    </row>
    <row r="34" spans="1:20" ht="12.75" customHeight="1">
      <c r="A34" s="220" t="s">
        <v>407</v>
      </c>
      <c r="B34" s="1124" t="s">
        <v>464</v>
      </c>
      <c r="C34" s="1124"/>
      <c r="D34" s="1124"/>
      <c r="E34" s="1124"/>
      <c r="F34" s="1124"/>
      <c r="G34" s="1124"/>
      <c r="H34" s="1124"/>
      <c r="I34" s="12"/>
      <c r="J34" s="12"/>
      <c r="K34" s="12"/>
      <c r="L34" s="12"/>
      <c r="M34" s="12"/>
      <c r="N34" s="12"/>
      <c r="O34" s="12"/>
      <c r="P34" s="12"/>
      <c r="Q34" s="12"/>
      <c r="R34" s="12"/>
      <c r="S34" s="12"/>
      <c r="T34" s="12"/>
    </row>
    <row r="35" spans="1:20">
      <c r="A35" s="220"/>
      <c r="B35" s="107"/>
      <c r="C35" s="107"/>
      <c r="D35" s="107"/>
      <c r="E35" s="12"/>
      <c r="F35" s="12"/>
      <c r="G35" s="12"/>
      <c r="H35" s="12"/>
      <c r="I35" s="12"/>
      <c r="J35" s="12"/>
      <c r="K35" s="12"/>
      <c r="L35" s="12"/>
      <c r="M35" s="12"/>
      <c r="N35" s="12"/>
      <c r="O35" s="12"/>
      <c r="P35" s="12"/>
      <c r="Q35" s="12"/>
      <c r="R35" s="12"/>
      <c r="S35" s="12"/>
      <c r="T35" s="12"/>
    </row>
    <row r="36" spans="1:20" s="30" customFormat="1" ht="17.25" customHeight="1">
      <c r="A36" s="2" t="s">
        <v>25</v>
      </c>
      <c r="B36" s="1104" t="s">
        <v>408</v>
      </c>
      <c r="C36" s="1105"/>
      <c r="D36" s="1106"/>
      <c r="E36" s="1090" t="s">
        <v>26</v>
      </c>
      <c r="F36" s="1100"/>
      <c r="G36" s="1100"/>
      <c r="H36" s="1100"/>
      <c r="I36" s="1100"/>
      <c r="J36" s="1091"/>
      <c r="K36" s="1066" t="s">
        <v>27</v>
      </c>
      <c r="L36" s="1066"/>
      <c r="M36" s="1066"/>
      <c r="N36" s="1066"/>
      <c r="O36" s="1066"/>
      <c r="P36" s="1066"/>
      <c r="Q36" s="1123"/>
      <c r="R36" s="1123"/>
      <c r="S36" s="1123"/>
      <c r="T36" s="1123"/>
    </row>
    <row r="37" spans="1:20">
      <c r="A37" s="4"/>
      <c r="B37" s="1107"/>
      <c r="C37" s="1108"/>
      <c r="D37" s="1109"/>
      <c r="E37" s="1070" t="s">
        <v>425</v>
      </c>
      <c r="F37" s="1071"/>
      <c r="G37" s="1070" t="s">
        <v>426</v>
      </c>
      <c r="H37" s="1071"/>
      <c r="I37" s="1070" t="s">
        <v>427</v>
      </c>
      <c r="J37" s="1071"/>
      <c r="K37" s="1066" t="s">
        <v>425</v>
      </c>
      <c r="L37" s="1066"/>
      <c r="M37" s="1066" t="s">
        <v>426</v>
      </c>
      <c r="N37" s="1066"/>
      <c r="O37" s="1066" t="s">
        <v>427</v>
      </c>
      <c r="P37" s="1066"/>
      <c r="Q37" s="12"/>
      <c r="R37" s="12"/>
      <c r="S37" s="12"/>
      <c r="T37" s="12"/>
    </row>
    <row r="38" spans="1:20">
      <c r="A38" s="61">
        <v>1</v>
      </c>
      <c r="B38" s="1101" t="s">
        <v>1025</v>
      </c>
      <c r="C38" s="1102"/>
      <c r="D38" s="1103"/>
      <c r="E38" s="1053" t="s">
        <v>1026</v>
      </c>
      <c r="F38" s="1055"/>
      <c r="G38" s="1053">
        <v>2.09</v>
      </c>
      <c r="H38" s="1055"/>
      <c r="I38" s="1072" t="s">
        <v>1027</v>
      </c>
      <c r="J38" s="1073"/>
      <c r="K38" s="1053" t="s">
        <v>1028</v>
      </c>
      <c r="L38" s="1055"/>
      <c r="M38" s="1053">
        <v>2.48</v>
      </c>
      <c r="N38" s="1055"/>
      <c r="O38" s="1072" t="s">
        <v>1027</v>
      </c>
      <c r="P38" s="1073"/>
      <c r="Q38" s="12"/>
      <c r="R38" s="12"/>
      <c r="S38" s="12"/>
      <c r="T38" s="12"/>
    </row>
    <row r="39" spans="1:20">
      <c r="A39" s="61"/>
      <c r="B39" s="1067" t="s">
        <v>43</v>
      </c>
      <c r="C39" s="1068"/>
      <c r="D39" s="1069"/>
      <c r="E39" s="1053" t="s">
        <v>1029</v>
      </c>
      <c r="F39" s="1055"/>
      <c r="G39" s="1053">
        <v>0.37</v>
      </c>
      <c r="H39" s="1055"/>
      <c r="I39" s="1074"/>
      <c r="J39" s="1075"/>
      <c r="K39" s="1053" t="s">
        <v>1030</v>
      </c>
      <c r="L39" s="1055"/>
      <c r="M39" s="1053">
        <v>0.46</v>
      </c>
      <c r="N39" s="1055"/>
      <c r="O39" s="1074"/>
      <c r="P39" s="1075"/>
      <c r="Q39" s="12"/>
      <c r="R39" s="12"/>
      <c r="S39" s="12"/>
      <c r="T39" s="12"/>
    </row>
    <row r="40" spans="1:20">
      <c r="A40" s="61"/>
      <c r="B40" s="1053" t="s">
        <v>1031</v>
      </c>
      <c r="C40" s="1054"/>
      <c r="D40" s="1055"/>
      <c r="E40" s="1053" t="s">
        <v>1032</v>
      </c>
      <c r="F40" s="1055"/>
      <c r="G40" s="1053">
        <v>0.77</v>
      </c>
      <c r="H40" s="1055"/>
      <c r="I40" s="1074"/>
      <c r="J40" s="1075"/>
      <c r="K40" s="1053" t="s">
        <v>1032</v>
      </c>
      <c r="L40" s="1055"/>
      <c r="M40" s="1056">
        <v>1</v>
      </c>
      <c r="N40" s="1057"/>
      <c r="O40" s="1074"/>
      <c r="P40" s="1075"/>
      <c r="Q40" s="12"/>
      <c r="R40" s="12"/>
      <c r="S40" s="12"/>
      <c r="T40" s="12"/>
    </row>
    <row r="41" spans="1:20">
      <c r="A41" s="61"/>
      <c r="B41" s="1053" t="s">
        <v>1033</v>
      </c>
      <c r="C41" s="1054"/>
      <c r="D41" s="1055"/>
      <c r="E41" s="1053" t="s">
        <v>1034</v>
      </c>
      <c r="F41" s="1055"/>
      <c r="G41" s="1053">
        <v>0.75</v>
      </c>
      <c r="H41" s="1055"/>
      <c r="I41" s="1074"/>
      <c r="J41" s="1075"/>
      <c r="K41" s="1053" t="s">
        <v>1029</v>
      </c>
      <c r="L41" s="1055"/>
      <c r="M41" s="1053">
        <v>0.77</v>
      </c>
      <c r="N41" s="1055"/>
      <c r="O41" s="1074"/>
      <c r="P41" s="1075"/>
      <c r="Q41" s="12"/>
      <c r="R41" s="12"/>
      <c r="S41" s="12"/>
      <c r="T41" s="12"/>
    </row>
    <row r="42" spans="1:20">
      <c r="A42" s="61"/>
      <c r="B42" s="1053" t="s">
        <v>56</v>
      </c>
      <c r="C42" s="1054"/>
      <c r="D42" s="1055"/>
      <c r="E42" s="1053"/>
      <c r="F42" s="1055"/>
      <c r="G42" s="1056">
        <v>0.2</v>
      </c>
      <c r="H42" s="1057"/>
      <c r="I42" s="1076"/>
      <c r="J42" s="1077"/>
      <c r="K42" s="1053"/>
      <c r="L42" s="1055"/>
      <c r="M42" s="1053">
        <v>0.25</v>
      </c>
      <c r="N42" s="1055"/>
      <c r="O42" s="1076"/>
      <c r="P42" s="1077"/>
      <c r="Q42" s="12"/>
      <c r="R42" s="12"/>
      <c r="S42" s="12"/>
      <c r="T42" s="12"/>
    </row>
    <row r="43" spans="1:20" s="553" customFormat="1" ht="26.25" customHeight="1">
      <c r="A43" s="551">
        <v>2</v>
      </c>
      <c r="B43" s="1048" t="s">
        <v>1035</v>
      </c>
      <c r="C43" s="1049"/>
      <c r="D43" s="1050"/>
      <c r="E43" s="1041" t="s">
        <v>1036</v>
      </c>
      <c r="F43" s="1042"/>
      <c r="G43" s="1051">
        <v>10</v>
      </c>
      <c r="H43" s="1052"/>
      <c r="I43" s="1041" t="s">
        <v>1037</v>
      </c>
      <c r="J43" s="1042"/>
      <c r="K43" s="1041" t="s">
        <v>1036</v>
      </c>
      <c r="L43" s="1042"/>
      <c r="M43" s="1051">
        <v>9</v>
      </c>
      <c r="N43" s="1052"/>
      <c r="O43" s="1041" t="s">
        <v>1037</v>
      </c>
      <c r="P43" s="1042"/>
      <c r="Q43" s="552"/>
      <c r="R43" s="552"/>
      <c r="S43" s="552"/>
      <c r="T43" s="552"/>
    </row>
    <row r="46" spans="1:20" ht="13.9" customHeight="1">
      <c r="A46" s="1043" t="s">
        <v>184</v>
      </c>
      <c r="B46" s="1043"/>
      <c r="C46" s="1043"/>
      <c r="D46" s="1043"/>
      <c r="E46" s="1043"/>
      <c r="F46" s="1043"/>
      <c r="G46" s="1043"/>
      <c r="H46" s="1043"/>
      <c r="I46" s="1043"/>
    </row>
    <row r="47" spans="1:20" ht="13.9" customHeight="1">
      <c r="A47" s="1044" t="s">
        <v>59</v>
      </c>
      <c r="B47" s="1044" t="s">
        <v>26</v>
      </c>
      <c r="C47" s="1044"/>
      <c r="D47" s="1044"/>
      <c r="E47" s="1045" t="s">
        <v>27</v>
      </c>
      <c r="F47" s="1045"/>
      <c r="G47" s="1045"/>
      <c r="H47" s="1046" t="s">
        <v>146</v>
      </c>
      <c r="I47"/>
    </row>
    <row r="48" spans="1:20" ht="15">
      <c r="A48" s="1044"/>
      <c r="B48" s="44" t="s">
        <v>175</v>
      </c>
      <c r="C48" s="66" t="s">
        <v>100</v>
      </c>
      <c r="D48" s="44" t="s">
        <v>18</v>
      </c>
      <c r="E48" s="44" t="s">
        <v>175</v>
      </c>
      <c r="F48" s="66" t="s">
        <v>100</v>
      </c>
      <c r="G48" s="44" t="s">
        <v>18</v>
      </c>
      <c r="H48" s="1047"/>
      <c r="I48"/>
    </row>
    <row r="49" spans="1:19" ht="14.25">
      <c r="A49" s="29" t="s">
        <v>474</v>
      </c>
      <c r="B49" s="554">
        <v>2.48</v>
      </c>
      <c r="C49" s="554">
        <v>1.65</v>
      </c>
      <c r="D49" s="555">
        <f>C49+B49</f>
        <v>4.13</v>
      </c>
      <c r="E49" s="555">
        <v>3.71</v>
      </c>
      <c r="F49" s="554">
        <v>2.4700000000000002</v>
      </c>
      <c r="G49" s="554">
        <f>F49+E49</f>
        <v>6.18</v>
      </c>
      <c r="H49" s="47"/>
      <c r="I49"/>
    </row>
    <row r="50" spans="1:19" ht="14.25">
      <c r="A50" s="29" t="s">
        <v>510</v>
      </c>
      <c r="B50" s="554">
        <f>ROUND(B49+B49*7.5%,2)</f>
        <v>2.67</v>
      </c>
      <c r="C50" s="554">
        <f>ROUND(C49+C49*7.5%,2)</f>
        <v>1.77</v>
      </c>
      <c r="D50" s="555">
        <f>C50+B50</f>
        <v>4.4399999999999995</v>
      </c>
      <c r="E50" s="554">
        <f>ROUND(E49+E49*7.5%,2)</f>
        <v>3.99</v>
      </c>
      <c r="F50" s="554">
        <f>ROUND(F49+F49*7.5%,2)</f>
        <v>2.66</v>
      </c>
      <c r="G50" s="554">
        <f>F50+E50</f>
        <v>6.65</v>
      </c>
      <c r="H50" s="47" t="s">
        <v>176</v>
      </c>
      <c r="I50"/>
    </row>
    <row r="51" spans="1:19" ht="15">
      <c r="A51" s="105" t="s">
        <v>235</v>
      </c>
      <c r="B51" s="218"/>
      <c r="C51" s="218"/>
      <c r="D51" s="13"/>
      <c r="E51" s="13"/>
      <c r="F51" s="219"/>
      <c r="G51" s="219"/>
      <c r="H51" s="219"/>
      <c r="I51"/>
    </row>
    <row r="52" spans="1:19" ht="15">
      <c r="A52" s="105"/>
      <c r="B52" s="218"/>
      <c r="C52" s="218"/>
      <c r="D52" s="13"/>
      <c r="E52" s="13"/>
      <c r="F52" s="219"/>
      <c r="G52" s="219"/>
      <c r="H52" s="219"/>
      <c r="I52"/>
    </row>
    <row r="53" spans="1:19" ht="15">
      <c r="A53" s="30"/>
      <c r="B53" s="221"/>
      <c r="C53" s="221"/>
      <c r="D53" s="210"/>
      <c r="E53" s="210"/>
      <c r="F53" s="219"/>
      <c r="G53" s="219"/>
      <c r="H53" s="219"/>
      <c r="I53"/>
    </row>
    <row r="54" spans="1:19" ht="15">
      <c r="A54" s="556">
        <v>4</v>
      </c>
      <c r="B54" s="218" t="s">
        <v>1038</v>
      </c>
      <c r="C54" s="218"/>
      <c r="D54" s="13"/>
      <c r="E54" s="13"/>
      <c r="F54" s="219"/>
      <c r="G54" s="219"/>
      <c r="H54" s="219"/>
      <c r="I54"/>
    </row>
    <row r="55" spans="1:19" ht="15">
      <c r="A55" s="217"/>
      <c r="B55" s="327" t="s">
        <v>2</v>
      </c>
      <c r="C55" s="1035" t="s">
        <v>1039</v>
      </c>
      <c r="D55" s="1035"/>
      <c r="E55" s="1036" t="s">
        <v>1040</v>
      </c>
      <c r="F55" s="1037"/>
      <c r="G55" s="219"/>
      <c r="H55" s="219"/>
      <c r="I55"/>
    </row>
    <row r="56" spans="1:19" ht="15">
      <c r="A56" s="30"/>
      <c r="B56" s="65">
        <v>1</v>
      </c>
      <c r="C56" s="1036" t="s">
        <v>43</v>
      </c>
      <c r="D56" s="1037"/>
      <c r="E56" s="1038">
        <v>0</v>
      </c>
      <c r="F56" s="1039"/>
      <c r="G56" s="219"/>
      <c r="H56" s="219"/>
      <c r="I56"/>
    </row>
    <row r="57" spans="1:19" ht="15">
      <c r="A57" s="30"/>
      <c r="B57" s="65">
        <v>2</v>
      </c>
      <c r="C57" s="1036" t="s">
        <v>21</v>
      </c>
      <c r="D57" s="1037"/>
      <c r="E57" s="1038">
        <v>0</v>
      </c>
      <c r="F57" s="1039"/>
      <c r="G57" s="219"/>
      <c r="H57" s="219"/>
      <c r="I57"/>
    </row>
    <row r="61" spans="1:19" s="16" customFormat="1" ht="15.75">
      <c r="A61" s="15" t="s">
        <v>12</v>
      </c>
      <c r="B61" s="15"/>
      <c r="C61" s="15"/>
      <c r="D61" s="15"/>
      <c r="E61" s="15"/>
      <c r="F61" s="15"/>
      <c r="G61" s="15"/>
      <c r="I61" s="15"/>
      <c r="Q61" s="1040" t="s">
        <v>1106</v>
      </c>
      <c r="R61" s="1040"/>
      <c r="S61" s="1040"/>
    </row>
    <row r="62" spans="1:19" customFormat="1" ht="15.6" customHeight="1">
      <c r="B62" s="989"/>
      <c r="C62" s="989"/>
      <c r="D62" s="989"/>
      <c r="E62" s="989"/>
      <c r="F62" s="989"/>
      <c r="G62" s="989"/>
      <c r="H62" s="989"/>
      <c r="I62" s="989"/>
      <c r="J62" s="989"/>
      <c r="K62" s="15"/>
      <c r="L62" s="15"/>
      <c r="M62" s="15"/>
      <c r="N62" s="15"/>
      <c r="O62" s="15"/>
      <c r="P62" s="15"/>
      <c r="Q62" s="1040" t="s">
        <v>481</v>
      </c>
      <c r="R62" s="1040"/>
      <c r="S62" s="1040"/>
    </row>
    <row r="63" spans="1:19" customFormat="1" ht="15.6" customHeight="1">
      <c r="B63" s="989"/>
      <c r="C63" s="989"/>
      <c r="D63" s="989"/>
      <c r="E63" s="989"/>
      <c r="F63" s="989"/>
      <c r="G63" s="989"/>
      <c r="H63" s="989"/>
      <c r="I63" s="989"/>
      <c r="J63" s="989"/>
      <c r="K63" s="15"/>
      <c r="L63" s="15"/>
      <c r="M63" s="15"/>
      <c r="N63" s="15"/>
      <c r="O63" s="15"/>
      <c r="P63" s="15"/>
      <c r="Q63" s="1040" t="s">
        <v>1107</v>
      </c>
      <c r="R63" s="1040"/>
      <c r="S63" s="1040"/>
    </row>
    <row r="64" spans="1:19" customFormat="1" ht="15.6" customHeight="1">
      <c r="A64" s="989" t="s">
        <v>1105</v>
      </c>
      <c r="B64" s="989"/>
      <c r="C64" s="989"/>
      <c r="D64" s="989"/>
      <c r="E64" s="989"/>
      <c r="F64" s="989"/>
      <c r="G64" s="989"/>
      <c r="H64" s="989"/>
      <c r="I64" s="989"/>
      <c r="J64" s="989"/>
      <c r="K64" s="15"/>
      <c r="L64" s="15"/>
      <c r="M64" s="15"/>
      <c r="N64" s="15"/>
      <c r="O64" s="15"/>
      <c r="P64" s="15"/>
      <c r="Q64" s="989"/>
    </row>
  </sheetData>
  <mergeCells count="185">
    <mergeCell ref="S36:T36"/>
    <mergeCell ref="H11:I11"/>
    <mergeCell ref="Q29:R29"/>
    <mergeCell ref="S29:T29"/>
    <mergeCell ref="M29:N29"/>
    <mergeCell ref="O29:P29"/>
    <mergeCell ref="M22:T22"/>
    <mergeCell ref="M25:N25"/>
    <mergeCell ref="Q23:R23"/>
    <mergeCell ref="G24:H24"/>
    <mergeCell ref="I32:J32"/>
    <mergeCell ref="S30:T30"/>
    <mergeCell ref="K32:L32"/>
    <mergeCell ref="Q36:R36"/>
    <mergeCell ref="I31:J31"/>
    <mergeCell ref="G32:H32"/>
    <mergeCell ref="G31:H31"/>
    <mergeCell ref="B34:H34"/>
    <mergeCell ref="B31:D31"/>
    <mergeCell ref="E31:F31"/>
    <mergeCell ref="E32:F32"/>
    <mergeCell ref="B32:D32"/>
    <mergeCell ref="Q25:R25"/>
    <mergeCell ref="E29:F29"/>
    <mergeCell ref="B10:C10"/>
    <mergeCell ref="B24:D24"/>
    <mergeCell ref="G29:H29"/>
    <mergeCell ref="G30:H30"/>
    <mergeCell ref="B22:D23"/>
    <mergeCell ref="E22:L22"/>
    <mergeCell ref="B28:D28"/>
    <mergeCell ref="B25:D25"/>
    <mergeCell ref="E24:F24"/>
    <mergeCell ref="K24:L24"/>
    <mergeCell ref="J10:K10"/>
    <mergeCell ref="C18:D18"/>
    <mergeCell ref="B11:C11"/>
    <mergeCell ref="G23:H23"/>
    <mergeCell ref="J13:K13"/>
    <mergeCell ref="J11:K11"/>
    <mergeCell ref="E30:F30"/>
    <mergeCell ref="B26:D26"/>
    <mergeCell ref="I26:J26"/>
    <mergeCell ref="B27:D27"/>
    <mergeCell ref="B29:D29"/>
    <mergeCell ref="I29:J29"/>
    <mergeCell ref="E36:J36"/>
    <mergeCell ref="G39:H39"/>
    <mergeCell ref="B38:D38"/>
    <mergeCell ref="G37:H37"/>
    <mergeCell ref="G38:H38"/>
    <mergeCell ref="B36:D37"/>
    <mergeCell ref="R1:S1"/>
    <mergeCell ref="A2:S2"/>
    <mergeCell ref="A3:S3"/>
    <mergeCell ref="A5:S5"/>
    <mergeCell ref="B9:C9"/>
    <mergeCell ref="O25:P25"/>
    <mergeCell ref="H1:I1"/>
    <mergeCell ref="J9:K9"/>
    <mergeCell ref="H9:I9"/>
    <mergeCell ref="I25:J25"/>
    <mergeCell ref="I23:J23"/>
    <mergeCell ref="O23:P23"/>
    <mergeCell ref="J12:K12"/>
    <mergeCell ref="K25:L25"/>
    <mergeCell ref="M24:N24"/>
    <mergeCell ref="O24:P24"/>
    <mergeCell ref="D10:E10"/>
    <mergeCell ref="F10:G10"/>
    <mergeCell ref="A6:B6"/>
    <mergeCell ref="A7:I7"/>
    <mergeCell ref="D9:E9"/>
    <mergeCell ref="E23:F23"/>
    <mergeCell ref="F9:G9"/>
    <mergeCell ref="A18:B18"/>
    <mergeCell ref="D13:E13"/>
    <mergeCell ref="F11:G11"/>
    <mergeCell ref="G25:H25"/>
    <mergeCell ref="B12:C12"/>
    <mergeCell ref="H13:I13"/>
    <mergeCell ref="H12:I12"/>
    <mergeCell ref="D12:E12"/>
    <mergeCell ref="F12:G12"/>
    <mergeCell ref="E25:F25"/>
    <mergeCell ref="A15:G15"/>
    <mergeCell ref="C16:D16"/>
    <mergeCell ref="A16:B16"/>
    <mergeCell ref="A17:B17"/>
    <mergeCell ref="C17:D17"/>
    <mergeCell ref="B13:C13"/>
    <mergeCell ref="A21:S21"/>
    <mergeCell ref="S25:T25"/>
    <mergeCell ref="H10:I10"/>
    <mergeCell ref="A22:A23"/>
    <mergeCell ref="E26:F26"/>
    <mergeCell ref="G26:H26"/>
    <mergeCell ref="I30:J30"/>
    <mergeCell ref="K29:L29"/>
    <mergeCell ref="S24:T24"/>
    <mergeCell ref="M26:N26"/>
    <mergeCell ref="D11:E11"/>
    <mergeCell ref="F13:G13"/>
    <mergeCell ref="Q26:R26"/>
    <mergeCell ref="S26:T26"/>
    <mergeCell ref="I24:J24"/>
    <mergeCell ref="B30:D30"/>
    <mergeCell ref="S23:T23"/>
    <mergeCell ref="M23:N23"/>
    <mergeCell ref="K23:L23"/>
    <mergeCell ref="O26:P26"/>
    <mergeCell ref="K26:L26"/>
    <mergeCell ref="Q24:R24"/>
    <mergeCell ref="S32:T32"/>
    <mergeCell ref="M31:N31"/>
    <mergeCell ref="Q31:R31"/>
    <mergeCell ref="S31:T31"/>
    <mergeCell ref="O31:P31"/>
    <mergeCell ref="K31:L31"/>
    <mergeCell ref="Q27:R28"/>
    <mergeCell ref="S27:T28"/>
    <mergeCell ref="M32:N32"/>
    <mergeCell ref="O32:P32"/>
    <mergeCell ref="Q32:R32"/>
    <mergeCell ref="M30:N30"/>
    <mergeCell ref="O30:P30"/>
    <mergeCell ref="Q30:R30"/>
    <mergeCell ref="K30:L30"/>
    <mergeCell ref="O27:P28"/>
    <mergeCell ref="E37:F37"/>
    <mergeCell ref="M40:N40"/>
    <mergeCell ref="M38:N38"/>
    <mergeCell ref="E38:F38"/>
    <mergeCell ref="K40:L40"/>
    <mergeCell ref="I37:J37"/>
    <mergeCell ref="I38:J42"/>
    <mergeCell ref="O38:P42"/>
    <mergeCell ref="O37:P37"/>
    <mergeCell ref="E39:F39"/>
    <mergeCell ref="E40:F40"/>
    <mergeCell ref="B42:D42"/>
    <mergeCell ref="E42:F42"/>
    <mergeCell ref="G42:H42"/>
    <mergeCell ref="K42:L42"/>
    <mergeCell ref="M42:N42"/>
    <mergeCell ref="G40:H40"/>
    <mergeCell ref="E27:F28"/>
    <mergeCell ref="G27:H28"/>
    <mergeCell ref="I27:J28"/>
    <mergeCell ref="K27:L28"/>
    <mergeCell ref="M27:N28"/>
    <mergeCell ref="M37:N37"/>
    <mergeCell ref="K41:L41"/>
    <mergeCell ref="K38:L38"/>
    <mergeCell ref="B40:D40"/>
    <mergeCell ref="B41:D41"/>
    <mergeCell ref="G41:H41"/>
    <mergeCell ref="E41:F41"/>
    <mergeCell ref="M41:N41"/>
    <mergeCell ref="B39:D39"/>
    <mergeCell ref="K36:P36"/>
    <mergeCell ref="K39:L39"/>
    <mergeCell ref="M39:N39"/>
    <mergeCell ref="K37:L37"/>
    <mergeCell ref="O43:P43"/>
    <mergeCell ref="A46:I46"/>
    <mergeCell ref="A47:A48"/>
    <mergeCell ref="B47:D47"/>
    <mergeCell ref="E47:G47"/>
    <mergeCell ref="H47:H48"/>
    <mergeCell ref="B43:D43"/>
    <mergeCell ref="E43:F43"/>
    <mergeCell ref="G43:H43"/>
    <mergeCell ref="I43:J43"/>
    <mergeCell ref="K43:L43"/>
    <mergeCell ref="M43:N43"/>
    <mergeCell ref="C55:D55"/>
    <mergeCell ref="E55:F55"/>
    <mergeCell ref="C56:D56"/>
    <mergeCell ref="E56:F56"/>
    <mergeCell ref="C57:D57"/>
    <mergeCell ref="E57:F57"/>
    <mergeCell ref="Q61:S61"/>
    <mergeCell ref="Q62:S62"/>
    <mergeCell ref="Q63:S63"/>
  </mergeCells>
  <phoneticPr fontId="0" type="noConversion"/>
  <printOptions horizontalCentered="1"/>
  <pageMargins left="0.70866141732283472" right="0.70866141732283472" top="0.63" bottom="0" header="0.79" footer="0.31496062992125984"/>
  <pageSetup paperSize="9" scale="70"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R46"/>
  <sheetViews>
    <sheetView topLeftCell="A37" zoomScaleSheetLayoutView="90" workbookViewId="0">
      <selection activeCell="E13" sqref="E13"/>
    </sheetView>
  </sheetViews>
  <sheetFormatPr defaultRowHeight="15.75"/>
  <cols>
    <col min="1" max="1" width="7" customWidth="1"/>
    <col min="2" max="2" width="18.140625" style="14" customWidth="1"/>
    <col min="3" max="3" width="12.85546875" customWidth="1"/>
    <col min="4" max="4" width="9.140625" customWidth="1"/>
    <col min="5" max="5" width="5.7109375" customWidth="1"/>
    <col min="6" max="6" width="8.5703125" customWidth="1"/>
    <col min="7" max="7" width="10.5703125" customWidth="1"/>
    <col min="8" max="8" width="9.140625" customWidth="1"/>
    <col min="9" max="9" width="13.42578125" style="235" customWidth="1"/>
    <col min="10" max="10" width="8.85546875" style="235" customWidth="1"/>
    <col min="11" max="11" width="9.42578125" customWidth="1"/>
    <col min="12" max="12" width="8.85546875" customWidth="1"/>
    <col min="13" max="13" width="12" customWidth="1"/>
    <col min="14" max="14" width="7.7109375" customWidth="1"/>
  </cols>
  <sheetData>
    <row r="1" spans="1:18" ht="16.5">
      <c r="A1" s="1379" t="s">
        <v>1014</v>
      </c>
      <c r="B1" s="1379"/>
      <c r="C1" s="1379"/>
      <c r="D1" s="1379"/>
      <c r="E1" s="1379"/>
      <c r="F1" s="1379"/>
      <c r="G1" s="1379"/>
      <c r="H1" s="1379"/>
      <c r="I1" s="1379"/>
      <c r="J1" s="1379"/>
      <c r="K1" s="1379"/>
      <c r="L1" s="1379"/>
      <c r="M1" s="1379"/>
      <c r="N1" s="520"/>
      <c r="O1" s="16"/>
    </row>
    <row r="2" spans="1:18" ht="16.5">
      <c r="A2" s="1379" t="s">
        <v>636</v>
      </c>
      <c r="B2" s="1379"/>
      <c r="C2" s="1379"/>
      <c r="D2" s="1379"/>
      <c r="E2" s="1379"/>
      <c r="F2" s="1379"/>
      <c r="G2" s="1379"/>
      <c r="H2" s="1379"/>
      <c r="I2" s="1379"/>
      <c r="J2" s="1379"/>
      <c r="K2" s="1379"/>
      <c r="L2" s="1379"/>
      <c r="M2" s="1379"/>
      <c r="N2" s="511"/>
      <c r="O2" s="16"/>
    </row>
    <row r="3" spans="1:18" ht="16.5">
      <c r="A3" s="1379" t="s">
        <v>516</v>
      </c>
      <c r="B3" s="1379"/>
      <c r="C3" s="1379"/>
      <c r="D3" s="1379"/>
      <c r="E3" s="1379"/>
      <c r="F3" s="1379"/>
      <c r="G3" s="1379"/>
      <c r="H3" s="1379"/>
      <c r="I3" s="522"/>
      <c r="J3" s="522"/>
      <c r="K3" s="522"/>
      <c r="L3" s="522"/>
      <c r="M3" s="511"/>
      <c r="N3" s="511"/>
      <c r="O3" s="16"/>
    </row>
    <row r="4" spans="1:18" ht="16.5">
      <c r="A4" s="1380" t="s">
        <v>905</v>
      </c>
      <c r="B4" s="1380"/>
      <c r="C4" s="521"/>
      <c r="D4" s="521"/>
      <c r="E4" s="521"/>
      <c r="F4" s="521"/>
      <c r="G4" s="521"/>
      <c r="H4" s="521"/>
      <c r="I4" s="522"/>
      <c r="J4" s="522"/>
      <c r="K4" s="1386" t="s">
        <v>792</v>
      </c>
      <c r="L4" s="1386"/>
      <c r="M4" s="1386"/>
      <c r="N4" s="523"/>
      <c r="O4" s="519"/>
      <c r="P4" s="43"/>
      <c r="Q4" s="43"/>
      <c r="R4" s="43"/>
    </row>
    <row r="5" spans="1:18" ht="59.25" customHeight="1">
      <c r="A5" s="1389" t="s">
        <v>1015</v>
      </c>
      <c r="B5" s="1389" t="s">
        <v>38</v>
      </c>
      <c r="C5" s="1387" t="s">
        <v>400</v>
      </c>
      <c r="D5" s="1383" t="s">
        <v>452</v>
      </c>
      <c r="E5" s="1384"/>
      <c r="F5" s="1384"/>
      <c r="G5" s="1384"/>
      <c r="H5" s="1385"/>
      <c r="I5" s="1381" t="s">
        <v>542</v>
      </c>
      <c r="J5" s="1381" t="s">
        <v>1016</v>
      </c>
      <c r="K5" s="1391" t="s">
        <v>497</v>
      </c>
      <c r="L5" s="1392"/>
      <c r="M5" s="1392"/>
      <c r="N5" s="1393"/>
      <c r="O5" s="43"/>
      <c r="P5" s="43"/>
      <c r="Q5" s="43"/>
      <c r="R5" s="43"/>
    </row>
    <row r="6" spans="1:18" ht="59.25" customHeight="1">
      <c r="A6" s="1390"/>
      <c r="B6" s="1390"/>
      <c r="C6" s="1388"/>
      <c r="D6" s="321" t="s">
        <v>451</v>
      </c>
      <c r="E6" s="321" t="s">
        <v>401</v>
      </c>
      <c r="F6" s="323" t="s">
        <v>402</v>
      </c>
      <c r="G6" s="323" t="s">
        <v>403</v>
      </c>
      <c r="H6" s="321" t="s">
        <v>48</v>
      </c>
      <c r="I6" s="1382"/>
      <c r="J6" s="1382"/>
      <c r="K6" s="506" t="s">
        <v>404</v>
      </c>
      <c r="L6" s="507" t="s">
        <v>498</v>
      </c>
      <c r="M6" s="508" t="s">
        <v>405</v>
      </c>
      <c r="N6" s="507" t="s">
        <v>406</v>
      </c>
      <c r="O6" s="43"/>
      <c r="P6" s="43"/>
      <c r="Q6" s="43"/>
      <c r="R6" s="43"/>
    </row>
    <row r="7" spans="1:18" s="140" customFormat="1" ht="16.5">
      <c r="A7" s="509" t="s">
        <v>268</v>
      </c>
      <c r="B7" s="509" t="s">
        <v>269</v>
      </c>
      <c r="C7" s="509" t="s">
        <v>270</v>
      </c>
      <c r="D7" s="509" t="s">
        <v>271</v>
      </c>
      <c r="E7" s="509" t="s">
        <v>272</v>
      </c>
      <c r="F7" s="509" t="s">
        <v>273</v>
      </c>
      <c r="G7" s="509" t="s">
        <v>274</v>
      </c>
      <c r="H7" s="509" t="s">
        <v>275</v>
      </c>
      <c r="I7" s="510" t="s">
        <v>293</v>
      </c>
      <c r="J7" s="510" t="s">
        <v>294</v>
      </c>
      <c r="K7" s="510" t="s">
        <v>295</v>
      </c>
      <c r="L7" s="510" t="s">
        <v>323</v>
      </c>
      <c r="M7" s="509" t="s">
        <v>324</v>
      </c>
      <c r="N7" s="509" t="s">
        <v>325</v>
      </c>
      <c r="O7" s="115"/>
    </row>
    <row r="8" spans="1:18" ht="14.25">
      <c r="A8" s="511">
        <v>1</v>
      </c>
      <c r="B8" s="511" t="s">
        <v>825</v>
      </c>
      <c r="C8" s="325">
        <v>1295</v>
      </c>
      <c r="D8" s="325">
        <f>C8*90%</f>
        <v>1165.5</v>
      </c>
      <c r="E8" s="323">
        <v>0</v>
      </c>
      <c r="F8" s="404">
        <f>C8-D8</f>
        <v>129.5</v>
      </c>
      <c r="G8" s="324">
        <v>0</v>
      </c>
      <c r="H8" s="323">
        <v>0</v>
      </c>
      <c r="I8" s="512">
        <v>0</v>
      </c>
      <c r="J8" s="512">
        <v>0</v>
      </c>
      <c r="K8" s="513">
        <f>C8*65%</f>
        <v>841.75</v>
      </c>
      <c r="L8" s="513">
        <f>C8*3%</f>
        <v>38.85</v>
      </c>
      <c r="M8" s="325">
        <f>C8*5%</f>
        <v>64.75</v>
      </c>
      <c r="N8" s="325">
        <f>C8*27%</f>
        <v>349.65000000000003</v>
      </c>
      <c r="O8" s="16"/>
    </row>
    <row r="9" spans="1:18" ht="14.25">
      <c r="A9" s="511">
        <v>2</v>
      </c>
      <c r="B9" s="511" t="s">
        <v>826</v>
      </c>
      <c r="C9" s="325">
        <v>811</v>
      </c>
      <c r="D9" s="325">
        <f t="shared" ref="D9:D41" si="0">C9*90%</f>
        <v>729.9</v>
      </c>
      <c r="E9" s="323">
        <v>0</v>
      </c>
      <c r="F9" s="404">
        <f t="shared" ref="F9:F41" si="1">C9-D9</f>
        <v>81.100000000000023</v>
      </c>
      <c r="G9" s="324">
        <v>0</v>
      </c>
      <c r="H9" s="323">
        <v>0</v>
      </c>
      <c r="I9" s="512">
        <v>0</v>
      </c>
      <c r="J9" s="512">
        <v>0</v>
      </c>
      <c r="K9" s="513">
        <f t="shared" ref="K9:K41" si="2">C9*65%</f>
        <v>527.15</v>
      </c>
      <c r="L9" s="513">
        <f t="shared" ref="L9:L41" si="3">C9*3%</f>
        <v>24.33</v>
      </c>
      <c r="M9" s="325">
        <f t="shared" ref="M9:M41" si="4">C9*5%</f>
        <v>40.550000000000004</v>
      </c>
      <c r="N9" s="325">
        <f t="shared" ref="N9:N41" si="5">C9*27%</f>
        <v>218.97000000000003</v>
      </c>
      <c r="O9" s="16"/>
    </row>
    <row r="10" spans="1:18" ht="14.25">
      <c r="A10" s="511">
        <v>3</v>
      </c>
      <c r="B10" s="511" t="s">
        <v>827</v>
      </c>
      <c r="C10" s="325">
        <v>1449</v>
      </c>
      <c r="D10" s="325">
        <f t="shared" si="0"/>
        <v>1304.1000000000001</v>
      </c>
      <c r="E10" s="323">
        <v>0</v>
      </c>
      <c r="F10" s="404">
        <f t="shared" si="1"/>
        <v>144.89999999999986</v>
      </c>
      <c r="G10" s="324">
        <v>0</v>
      </c>
      <c r="H10" s="323">
        <v>0</v>
      </c>
      <c r="I10" s="512">
        <v>0</v>
      </c>
      <c r="J10" s="512">
        <v>0</v>
      </c>
      <c r="K10" s="513">
        <f t="shared" si="2"/>
        <v>941.85</v>
      </c>
      <c r="L10" s="513">
        <f t="shared" si="3"/>
        <v>43.47</v>
      </c>
      <c r="M10" s="325">
        <f t="shared" si="4"/>
        <v>72.45</v>
      </c>
      <c r="N10" s="325">
        <f t="shared" si="5"/>
        <v>391.23</v>
      </c>
      <c r="O10" s="16"/>
    </row>
    <row r="11" spans="1:18" ht="14.25">
      <c r="A11" s="511">
        <v>4</v>
      </c>
      <c r="B11" s="511" t="s">
        <v>828</v>
      </c>
      <c r="C11" s="325">
        <v>1101</v>
      </c>
      <c r="D11" s="325">
        <f t="shared" si="0"/>
        <v>990.9</v>
      </c>
      <c r="E11" s="323">
        <v>0</v>
      </c>
      <c r="F11" s="404">
        <f t="shared" si="1"/>
        <v>110.10000000000002</v>
      </c>
      <c r="G11" s="324">
        <v>0</v>
      </c>
      <c r="H11" s="323">
        <v>0</v>
      </c>
      <c r="I11" s="512">
        <v>0</v>
      </c>
      <c r="J11" s="512">
        <v>0</v>
      </c>
      <c r="K11" s="513">
        <f t="shared" si="2"/>
        <v>715.65</v>
      </c>
      <c r="L11" s="513">
        <f t="shared" si="3"/>
        <v>33.03</v>
      </c>
      <c r="M11" s="325">
        <f t="shared" si="4"/>
        <v>55.050000000000004</v>
      </c>
      <c r="N11" s="325">
        <f t="shared" si="5"/>
        <v>297.27000000000004</v>
      </c>
      <c r="O11" s="16"/>
    </row>
    <row r="12" spans="1:18" ht="14.25">
      <c r="A12" s="511">
        <v>5</v>
      </c>
      <c r="B12" s="511" t="s">
        <v>829</v>
      </c>
      <c r="C12" s="325">
        <v>2551</v>
      </c>
      <c r="D12" s="325">
        <f t="shared" si="0"/>
        <v>2295.9</v>
      </c>
      <c r="E12" s="323">
        <v>0</v>
      </c>
      <c r="F12" s="404">
        <f t="shared" si="1"/>
        <v>255.09999999999991</v>
      </c>
      <c r="G12" s="324">
        <v>0</v>
      </c>
      <c r="H12" s="323">
        <v>0</v>
      </c>
      <c r="I12" s="512">
        <v>0</v>
      </c>
      <c r="J12" s="512">
        <v>0</v>
      </c>
      <c r="K12" s="513">
        <f t="shared" si="2"/>
        <v>1658.15</v>
      </c>
      <c r="L12" s="513">
        <f t="shared" si="3"/>
        <v>76.53</v>
      </c>
      <c r="M12" s="325">
        <f t="shared" si="4"/>
        <v>127.55000000000001</v>
      </c>
      <c r="N12" s="325">
        <f t="shared" si="5"/>
        <v>688.7700000000001</v>
      </c>
      <c r="O12" s="16"/>
    </row>
    <row r="13" spans="1:18" ht="14.25">
      <c r="A13" s="511">
        <v>6</v>
      </c>
      <c r="B13" s="511" t="s">
        <v>830</v>
      </c>
      <c r="C13" s="325">
        <v>990</v>
      </c>
      <c r="D13" s="325">
        <f t="shared" si="0"/>
        <v>891</v>
      </c>
      <c r="E13" s="323">
        <v>0</v>
      </c>
      <c r="F13" s="404">
        <f t="shared" si="1"/>
        <v>99</v>
      </c>
      <c r="G13" s="324">
        <v>0</v>
      </c>
      <c r="H13" s="323">
        <v>0</v>
      </c>
      <c r="I13" s="512">
        <v>0</v>
      </c>
      <c r="J13" s="512">
        <v>0</v>
      </c>
      <c r="K13" s="513">
        <f t="shared" si="2"/>
        <v>643.5</v>
      </c>
      <c r="L13" s="513">
        <f t="shared" si="3"/>
        <v>29.7</v>
      </c>
      <c r="M13" s="325">
        <f t="shared" si="4"/>
        <v>49.5</v>
      </c>
      <c r="N13" s="325">
        <f t="shared" si="5"/>
        <v>267.3</v>
      </c>
      <c r="O13" s="16"/>
    </row>
    <row r="14" spans="1:18" ht="14.25">
      <c r="A14" s="511">
        <v>7</v>
      </c>
      <c r="B14" s="511" t="s">
        <v>831</v>
      </c>
      <c r="C14" s="325">
        <v>700</v>
      </c>
      <c r="D14" s="325">
        <f t="shared" si="0"/>
        <v>630</v>
      </c>
      <c r="E14" s="323">
        <v>0</v>
      </c>
      <c r="F14" s="404">
        <f t="shared" si="1"/>
        <v>70</v>
      </c>
      <c r="G14" s="324">
        <v>0</v>
      </c>
      <c r="H14" s="323">
        <v>0</v>
      </c>
      <c r="I14" s="512">
        <v>0</v>
      </c>
      <c r="J14" s="512">
        <v>0</v>
      </c>
      <c r="K14" s="513">
        <f t="shared" si="2"/>
        <v>455</v>
      </c>
      <c r="L14" s="513">
        <f t="shared" si="3"/>
        <v>21</v>
      </c>
      <c r="M14" s="325">
        <f t="shared" si="4"/>
        <v>35</v>
      </c>
      <c r="N14" s="325">
        <f t="shared" si="5"/>
        <v>189</v>
      </c>
      <c r="O14" s="16"/>
    </row>
    <row r="15" spans="1:18" ht="14.25">
      <c r="A15" s="511">
        <v>8</v>
      </c>
      <c r="B15" s="511" t="s">
        <v>832</v>
      </c>
      <c r="C15" s="325">
        <v>1051</v>
      </c>
      <c r="D15" s="325">
        <f t="shared" si="0"/>
        <v>945.9</v>
      </c>
      <c r="E15" s="323">
        <v>0</v>
      </c>
      <c r="F15" s="404">
        <f t="shared" si="1"/>
        <v>105.10000000000002</v>
      </c>
      <c r="G15" s="324">
        <v>0</v>
      </c>
      <c r="H15" s="323">
        <v>0</v>
      </c>
      <c r="I15" s="512">
        <v>0</v>
      </c>
      <c r="J15" s="512">
        <v>0</v>
      </c>
      <c r="K15" s="513">
        <f t="shared" si="2"/>
        <v>683.15</v>
      </c>
      <c r="L15" s="513">
        <f t="shared" si="3"/>
        <v>31.529999999999998</v>
      </c>
      <c r="M15" s="325">
        <f t="shared" si="4"/>
        <v>52.550000000000004</v>
      </c>
      <c r="N15" s="325">
        <f t="shared" si="5"/>
        <v>283.77000000000004</v>
      </c>
      <c r="O15" s="16"/>
    </row>
    <row r="16" spans="1:18" ht="14.25">
      <c r="A16" s="511">
        <v>9</v>
      </c>
      <c r="B16" s="511" t="s">
        <v>833</v>
      </c>
      <c r="C16" s="325">
        <v>1791</v>
      </c>
      <c r="D16" s="325">
        <f t="shared" si="0"/>
        <v>1611.9</v>
      </c>
      <c r="E16" s="323">
        <v>0</v>
      </c>
      <c r="F16" s="404">
        <f t="shared" si="1"/>
        <v>179.09999999999991</v>
      </c>
      <c r="G16" s="324">
        <v>0</v>
      </c>
      <c r="H16" s="323">
        <v>0</v>
      </c>
      <c r="I16" s="512">
        <v>0</v>
      </c>
      <c r="J16" s="512">
        <v>0</v>
      </c>
      <c r="K16" s="513">
        <f t="shared" si="2"/>
        <v>1164.1500000000001</v>
      </c>
      <c r="L16" s="513">
        <f t="shared" si="3"/>
        <v>53.73</v>
      </c>
      <c r="M16" s="325">
        <f t="shared" si="4"/>
        <v>89.550000000000011</v>
      </c>
      <c r="N16" s="325">
        <f t="shared" si="5"/>
        <v>483.57000000000005</v>
      </c>
      <c r="O16" s="16"/>
    </row>
    <row r="17" spans="1:15" ht="14.25">
      <c r="A17" s="511">
        <v>10</v>
      </c>
      <c r="B17" s="511" t="s">
        <v>834</v>
      </c>
      <c r="C17" s="325">
        <v>432</v>
      </c>
      <c r="D17" s="325">
        <f t="shared" si="0"/>
        <v>388.8</v>
      </c>
      <c r="E17" s="323">
        <v>0</v>
      </c>
      <c r="F17" s="404">
        <f t="shared" si="1"/>
        <v>43.199999999999989</v>
      </c>
      <c r="G17" s="324">
        <v>0</v>
      </c>
      <c r="H17" s="323">
        <v>0</v>
      </c>
      <c r="I17" s="512">
        <v>0</v>
      </c>
      <c r="J17" s="512">
        <v>0</v>
      </c>
      <c r="K17" s="513">
        <f t="shared" si="2"/>
        <v>280.8</v>
      </c>
      <c r="L17" s="513">
        <f t="shared" si="3"/>
        <v>12.959999999999999</v>
      </c>
      <c r="M17" s="325">
        <f t="shared" si="4"/>
        <v>21.6</v>
      </c>
      <c r="N17" s="325">
        <f t="shared" si="5"/>
        <v>116.64000000000001</v>
      </c>
      <c r="O17" s="16"/>
    </row>
    <row r="18" spans="1:15" ht="14.25">
      <c r="A18" s="511">
        <v>11</v>
      </c>
      <c r="B18" s="511" t="s">
        <v>835</v>
      </c>
      <c r="C18" s="325">
        <v>629</v>
      </c>
      <c r="D18" s="325">
        <f t="shared" si="0"/>
        <v>566.1</v>
      </c>
      <c r="E18" s="323">
        <v>0</v>
      </c>
      <c r="F18" s="404">
        <f t="shared" si="1"/>
        <v>62.899999999999977</v>
      </c>
      <c r="G18" s="324">
        <v>0</v>
      </c>
      <c r="H18" s="323">
        <v>0</v>
      </c>
      <c r="I18" s="512">
        <v>0</v>
      </c>
      <c r="J18" s="512">
        <v>0</v>
      </c>
      <c r="K18" s="513">
        <f t="shared" si="2"/>
        <v>408.85</v>
      </c>
      <c r="L18" s="513">
        <f t="shared" si="3"/>
        <v>18.87</v>
      </c>
      <c r="M18" s="325">
        <f t="shared" si="4"/>
        <v>31.450000000000003</v>
      </c>
      <c r="N18" s="325">
        <f t="shared" si="5"/>
        <v>169.83</v>
      </c>
      <c r="O18" s="16"/>
    </row>
    <row r="19" spans="1:15" ht="14.25">
      <c r="A19" s="511">
        <v>12</v>
      </c>
      <c r="B19" s="511" t="s">
        <v>836</v>
      </c>
      <c r="C19" s="325">
        <v>1459</v>
      </c>
      <c r="D19" s="325">
        <f t="shared" si="0"/>
        <v>1313.1000000000001</v>
      </c>
      <c r="E19" s="323">
        <v>0</v>
      </c>
      <c r="F19" s="404">
        <f t="shared" si="1"/>
        <v>145.89999999999986</v>
      </c>
      <c r="G19" s="324">
        <v>0</v>
      </c>
      <c r="H19" s="323">
        <v>0</v>
      </c>
      <c r="I19" s="512">
        <v>0</v>
      </c>
      <c r="J19" s="512">
        <v>0</v>
      </c>
      <c r="K19" s="513">
        <f t="shared" si="2"/>
        <v>948.35</v>
      </c>
      <c r="L19" s="513">
        <f t="shared" si="3"/>
        <v>43.769999999999996</v>
      </c>
      <c r="M19" s="325">
        <f t="shared" si="4"/>
        <v>72.95</v>
      </c>
      <c r="N19" s="325">
        <f t="shared" si="5"/>
        <v>393.93</v>
      </c>
      <c r="O19" s="16"/>
    </row>
    <row r="20" spans="1:15" ht="14.25">
      <c r="A20" s="511">
        <v>13</v>
      </c>
      <c r="B20" s="511" t="s">
        <v>837</v>
      </c>
      <c r="C20" s="325">
        <v>1734</v>
      </c>
      <c r="D20" s="325">
        <f t="shared" si="0"/>
        <v>1560.6000000000001</v>
      </c>
      <c r="E20" s="323">
        <v>0</v>
      </c>
      <c r="F20" s="404">
        <f t="shared" si="1"/>
        <v>173.39999999999986</v>
      </c>
      <c r="G20" s="324">
        <v>0</v>
      </c>
      <c r="H20" s="323">
        <v>0</v>
      </c>
      <c r="I20" s="512">
        <v>0</v>
      </c>
      <c r="J20" s="512">
        <v>0</v>
      </c>
      <c r="K20" s="513">
        <f t="shared" si="2"/>
        <v>1127.1000000000001</v>
      </c>
      <c r="L20" s="513">
        <f t="shared" si="3"/>
        <v>52.019999999999996</v>
      </c>
      <c r="M20" s="325">
        <f t="shared" si="4"/>
        <v>86.7</v>
      </c>
      <c r="N20" s="325">
        <f t="shared" si="5"/>
        <v>468.18</v>
      </c>
      <c r="O20" s="16" t="s">
        <v>399</v>
      </c>
    </row>
    <row r="21" spans="1:15" ht="14.25">
      <c r="A21" s="511">
        <v>14</v>
      </c>
      <c r="B21" s="511" t="s">
        <v>838</v>
      </c>
      <c r="C21" s="325">
        <v>794</v>
      </c>
      <c r="D21" s="325">
        <f t="shared" si="0"/>
        <v>714.6</v>
      </c>
      <c r="E21" s="323">
        <v>0</v>
      </c>
      <c r="F21" s="404">
        <f t="shared" si="1"/>
        <v>79.399999999999977</v>
      </c>
      <c r="G21" s="324">
        <v>0</v>
      </c>
      <c r="H21" s="323">
        <v>0</v>
      </c>
      <c r="I21" s="512">
        <v>0</v>
      </c>
      <c r="J21" s="512">
        <v>0</v>
      </c>
      <c r="K21" s="513">
        <f t="shared" si="2"/>
        <v>516.1</v>
      </c>
      <c r="L21" s="513">
        <f t="shared" si="3"/>
        <v>23.82</v>
      </c>
      <c r="M21" s="325">
        <f t="shared" si="4"/>
        <v>39.700000000000003</v>
      </c>
      <c r="N21" s="325">
        <f t="shared" si="5"/>
        <v>214.38000000000002</v>
      </c>
      <c r="O21" s="16"/>
    </row>
    <row r="22" spans="1:15" ht="14.25">
      <c r="A22" s="511">
        <v>15</v>
      </c>
      <c r="B22" s="511" t="s">
        <v>839</v>
      </c>
      <c r="C22" s="325">
        <v>824</v>
      </c>
      <c r="D22" s="325">
        <f t="shared" si="0"/>
        <v>741.6</v>
      </c>
      <c r="E22" s="323">
        <v>0</v>
      </c>
      <c r="F22" s="404">
        <f t="shared" si="1"/>
        <v>82.399999999999977</v>
      </c>
      <c r="G22" s="324">
        <v>0</v>
      </c>
      <c r="H22" s="323">
        <v>0</v>
      </c>
      <c r="I22" s="512">
        <v>0</v>
      </c>
      <c r="J22" s="512">
        <v>0</v>
      </c>
      <c r="K22" s="513">
        <f t="shared" si="2"/>
        <v>535.6</v>
      </c>
      <c r="L22" s="513">
        <f t="shared" si="3"/>
        <v>24.72</v>
      </c>
      <c r="M22" s="325">
        <f t="shared" si="4"/>
        <v>41.2</v>
      </c>
      <c r="N22" s="325">
        <f t="shared" si="5"/>
        <v>222.48000000000002</v>
      </c>
      <c r="O22" s="16"/>
    </row>
    <row r="23" spans="1:15" ht="14.25">
      <c r="A23" s="511">
        <v>16</v>
      </c>
      <c r="B23" s="511" t="s">
        <v>840</v>
      </c>
      <c r="C23" s="325">
        <v>335</v>
      </c>
      <c r="D23" s="325">
        <f t="shared" si="0"/>
        <v>301.5</v>
      </c>
      <c r="E23" s="323">
        <v>0</v>
      </c>
      <c r="F23" s="404">
        <f t="shared" si="1"/>
        <v>33.5</v>
      </c>
      <c r="G23" s="324">
        <v>0</v>
      </c>
      <c r="H23" s="323">
        <v>0</v>
      </c>
      <c r="I23" s="512">
        <v>0</v>
      </c>
      <c r="J23" s="512">
        <v>0</v>
      </c>
      <c r="K23" s="513">
        <f t="shared" si="2"/>
        <v>217.75</v>
      </c>
      <c r="L23" s="513">
        <f t="shared" si="3"/>
        <v>10.049999999999999</v>
      </c>
      <c r="M23" s="325">
        <f t="shared" si="4"/>
        <v>16.75</v>
      </c>
      <c r="N23" s="325">
        <f t="shared" si="5"/>
        <v>90.45</v>
      </c>
      <c r="O23" s="16"/>
    </row>
    <row r="24" spans="1:15" ht="14.25">
      <c r="A24" s="511">
        <v>17</v>
      </c>
      <c r="B24" s="511" t="s">
        <v>841</v>
      </c>
      <c r="C24" s="325">
        <v>1102</v>
      </c>
      <c r="D24" s="325">
        <f t="shared" si="0"/>
        <v>991.80000000000007</v>
      </c>
      <c r="E24" s="323">
        <v>0</v>
      </c>
      <c r="F24" s="404">
        <f t="shared" si="1"/>
        <v>110.19999999999993</v>
      </c>
      <c r="G24" s="324">
        <v>0</v>
      </c>
      <c r="H24" s="323">
        <v>0</v>
      </c>
      <c r="I24" s="512">
        <v>0</v>
      </c>
      <c r="J24" s="512">
        <v>0</v>
      </c>
      <c r="K24" s="513">
        <f t="shared" si="2"/>
        <v>716.30000000000007</v>
      </c>
      <c r="L24" s="513">
        <f t="shared" si="3"/>
        <v>33.06</v>
      </c>
      <c r="M24" s="325">
        <f t="shared" si="4"/>
        <v>55.1</v>
      </c>
      <c r="N24" s="325">
        <f t="shared" si="5"/>
        <v>297.54000000000002</v>
      </c>
      <c r="O24" s="16"/>
    </row>
    <row r="25" spans="1:15" ht="14.25">
      <c r="A25" s="511">
        <v>18</v>
      </c>
      <c r="B25" s="511" t="s">
        <v>842</v>
      </c>
      <c r="C25" s="325">
        <v>855</v>
      </c>
      <c r="D25" s="325">
        <f t="shared" si="0"/>
        <v>769.5</v>
      </c>
      <c r="E25" s="323">
        <v>0</v>
      </c>
      <c r="F25" s="404">
        <f t="shared" si="1"/>
        <v>85.5</v>
      </c>
      <c r="G25" s="324">
        <v>0</v>
      </c>
      <c r="H25" s="323">
        <v>0</v>
      </c>
      <c r="I25" s="512">
        <v>0</v>
      </c>
      <c r="J25" s="512">
        <v>0</v>
      </c>
      <c r="K25" s="513">
        <f t="shared" si="2"/>
        <v>555.75</v>
      </c>
      <c r="L25" s="513">
        <f t="shared" si="3"/>
        <v>25.65</v>
      </c>
      <c r="M25" s="325">
        <f t="shared" si="4"/>
        <v>42.75</v>
      </c>
      <c r="N25" s="325">
        <f t="shared" si="5"/>
        <v>230.85000000000002</v>
      </c>
      <c r="O25" s="16"/>
    </row>
    <row r="26" spans="1:15" ht="14.25">
      <c r="A26" s="511">
        <v>19</v>
      </c>
      <c r="B26" s="511" t="s">
        <v>843</v>
      </c>
      <c r="C26" s="325">
        <v>1037</v>
      </c>
      <c r="D26" s="325">
        <f t="shared" si="0"/>
        <v>933.30000000000007</v>
      </c>
      <c r="E26" s="323">
        <v>0</v>
      </c>
      <c r="F26" s="404">
        <f t="shared" si="1"/>
        <v>103.69999999999993</v>
      </c>
      <c r="G26" s="324">
        <v>0</v>
      </c>
      <c r="H26" s="323">
        <v>0</v>
      </c>
      <c r="I26" s="512">
        <v>0</v>
      </c>
      <c r="J26" s="512">
        <v>0</v>
      </c>
      <c r="K26" s="513">
        <f t="shared" si="2"/>
        <v>674.05000000000007</v>
      </c>
      <c r="L26" s="513">
        <f t="shared" si="3"/>
        <v>31.11</v>
      </c>
      <c r="M26" s="325">
        <f t="shared" si="4"/>
        <v>51.85</v>
      </c>
      <c r="N26" s="325">
        <f t="shared" si="5"/>
        <v>279.99</v>
      </c>
      <c r="O26" s="16"/>
    </row>
    <row r="27" spans="1:15" ht="12.75" customHeight="1">
      <c r="A27" s="511">
        <v>20</v>
      </c>
      <c r="B27" s="511" t="s">
        <v>844</v>
      </c>
      <c r="C27" s="325">
        <v>1317</v>
      </c>
      <c r="D27" s="325">
        <f t="shared" si="0"/>
        <v>1185.3</v>
      </c>
      <c r="E27" s="323">
        <v>0</v>
      </c>
      <c r="F27" s="404">
        <f t="shared" si="1"/>
        <v>131.70000000000005</v>
      </c>
      <c r="G27" s="324">
        <v>0</v>
      </c>
      <c r="H27" s="323">
        <v>0</v>
      </c>
      <c r="I27" s="512">
        <v>0</v>
      </c>
      <c r="J27" s="512">
        <v>0</v>
      </c>
      <c r="K27" s="513">
        <f t="shared" si="2"/>
        <v>856.05000000000007</v>
      </c>
      <c r="L27" s="513">
        <f t="shared" si="3"/>
        <v>39.51</v>
      </c>
      <c r="M27" s="325">
        <f t="shared" si="4"/>
        <v>65.850000000000009</v>
      </c>
      <c r="N27" s="325">
        <f t="shared" si="5"/>
        <v>355.59000000000003</v>
      </c>
      <c r="O27" s="16"/>
    </row>
    <row r="28" spans="1:15" ht="12.75" customHeight="1">
      <c r="A28" s="511">
        <v>21</v>
      </c>
      <c r="B28" s="511" t="s">
        <v>845</v>
      </c>
      <c r="C28" s="325">
        <v>1372</v>
      </c>
      <c r="D28" s="325">
        <f t="shared" si="0"/>
        <v>1234.8</v>
      </c>
      <c r="E28" s="323">
        <v>0</v>
      </c>
      <c r="F28" s="404">
        <f t="shared" si="1"/>
        <v>137.20000000000005</v>
      </c>
      <c r="G28" s="324">
        <v>0</v>
      </c>
      <c r="H28" s="323">
        <v>0</v>
      </c>
      <c r="I28" s="512">
        <v>0</v>
      </c>
      <c r="J28" s="512">
        <v>0</v>
      </c>
      <c r="K28" s="513">
        <f t="shared" si="2"/>
        <v>891.80000000000007</v>
      </c>
      <c r="L28" s="513">
        <f t="shared" si="3"/>
        <v>41.16</v>
      </c>
      <c r="M28" s="325">
        <f t="shared" si="4"/>
        <v>68.600000000000009</v>
      </c>
      <c r="N28" s="325">
        <f t="shared" si="5"/>
        <v>370.44</v>
      </c>
      <c r="O28" s="16"/>
    </row>
    <row r="29" spans="1:15" ht="12.75" customHeight="1">
      <c r="A29" s="511">
        <v>22</v>
      </c>
      <c r="B29" s="511" t="s">
        <v>846</v>
      </c>
      <c r="C29" s="325">
        <v>910</v>
      </c>
      <c r="D29" s="325">
        <f t="shared" si="0"/>
        <v>819</v>
      </c>
      <c r="E29" s="323">
        <v>0</v>
      </c>
      <c r="F29" s="404">
        <f t="shared" si="1"/>
        <v>91</v>
      </c>
      <c r="G29" s="324">
        <v>0</v>
      </c>
      <c r="H29" s="323">
        <v>0</v>
      </c>
      <c r="I29" s="512">
        <v>0</v>
      </c>
      <c r="J29" s="512">
        <v>0</v>
      </c>
      <c r="K29" s="513">
        <f t="shared" si="2"/>
        <v>591.5</v>
      </c>
      <c r="L29" s="513">
        <f t="shared" si="3"/>
        <v>27.3</v>
      </c>
      <c r="M29" s="325">
        <f t="shared" si="4"/>
        <v>45.5</v>
      </c>
      <c r="N29" s="325">
        <f t="shared" si="5"/>
        <v>245.70000000000002</v>
      </c>
      <c r="O29" s="16"/>
    </row>
    <row r="30" spans="1:15" ht="14.25">
      <c r="A30" s="511">
        <v>23</v>
      </c>
      <c r="B30" s="511" t="s">
        <v>847</v>
      </c>
      <c r="C30" s="325">
        <v>1244</v>
      </c>
      <c r="D30" s="325">
        <f t="shared" si="0"/>
        <v>1119.6000000000001</v>
      </c>
      <c r="E30" s="323">
        <v>0</v>
      </c>
      <c r="F30" s="404">
        <f t="shared" si="1"/>
        <v>124.39999999999986</v>
      </c>
      <c r="G30" s="324">
        <v>0</v>
      </c>
      <c r="H30" s="323">
        <v>0</v>
      </c>
      <c r="I30" s="512">
        <v>0</v>
      </c>
      <c r="J30" s="512">
        <v>0</v>
      </c>
      <c r="K30" s="513">
        <f t="shared" si="2"/>
        <v>808.6</v>
      </c>
      <c r="L30" s="513">
        <f t="shared" si="3"/>
        <v>37.32</v>
      </c>
      <c r="M30" s="325">
        <f t="shared" si="4"/>
        <v>62.2</v>
      </c>
      <c r="N30" s="325">
        <f t="shared" si="5"/>
        <v>335.88</v>
      </c>
      <c r="O30" s="16"/>
    </row>
    <row r="31" spans="1:15" ht="14.25">
      <c r="A31" s="511">
        <v>24</v>
      </c>
      <c r="B31" s="511" t="s">
        <v>848</v>
      </c>
      <c r="C31" s="325">
        <v>1008</v>
      </c>
      <c r="D31" s="325">
        <f t="shared" si="0"/>
        <v>907.2</v>
      </c>
      <c r="E31" s="323">
        <v>0</v>
      </c>
      <c r="F31" s="404">
        <f t="shared" si="1"/>
        <v>100.79999999999995</v>
      </c>
      <c r="G31" s="324">
        <v>0</v>
      </c>
      <c r="H31" s="323">
        <v>0</v>
      </c>
      <c r="I31" s="512">
        <v>0</v>
      </c>
      <c r="J31" s="512">
        <v>0</v>
      </c>
      <c r="K31" s="513">
        <f t="shared" si="2"/>
        <v>655.20000000000005</v>
      </c>
      <c r="L31" s="513">
        <f t="shared" si="3"/>
        <v>30.24</v>
      </c>
      <c r="M31" s="325">
        <f t="shared" si="4"/>
        <v>50.400000000000006</v>
      </c>
      <c r="N31" s="325">
        <f t="shared" si="5"/>
        <v>272.16000000000003</v>
      </c>
      <c r="O31" s="16"/>
    </row>
    <row r="32" spans="1:15" ht="14.25">
      <c r="A32" s="511">
        <v>25</v>
      </c>
      <c r="B32" s="511" t="s">
        <v>849</v>
      </c>
      <c r="C32" s="325">
        <v>771</v>
      </c>
      <c r="D32" s="325">
        <f t="shared" si="0"/>
        <v>693.9</v>
      </c>
      <c r="E32" s="323">
        <v>0</v>
      </c>
      <c r="F32" s="404">
        <f t="shared" si="1"/>
        <v>77.100000000000023</v>
      </c>
      <c r="G32" s="324">
        <v>0</v>
      </c>
      <c r="H32" s="323">
        <v>0</v>
      </c>
      <c r="I32" s="512">
        <v>0</v>
      </c>
      <c r="J32" s="512">
        <v>0</v>
      </c>
      <c r="K32" s="513">
        <f t="shared" si="2"/>
        <v>501.15000000000003</v>
      </c>
      <c r="L32" s="513">
        <f t="shared" si="3"/>
        <v>23.13</v>
      </c>
      <c r="M32" s="325">
        <f t="shared" si="4"/>
        <v>38.550000000000004</v>
      </c>
      <c r="N32" s="325">
        <f t="shared" si="5"/>
        <v>208.17000000000002</v>
      </c>
      <c r="O32" s="16"/>
    </row>
    <row r="33" spans="1:15" ht="14.25">
      <c r="A33" s="511">
        <v>26</v>
      </c>
      <c r="B33" s="511" t="s">
        <v>850</v>
      </c>
      <c r="C33" s="325">
        <v>819</v>
      </c>
      <c r="D33" s="325">
        <f t="shared" si="0"/>
        <v>737.1</v>
      </c>
      <c r="E33" s="323">
        <v>0</v>
      </c>
      <c r="F33" s="404">
        <f t="shared" si="1"/>
        <v>81.899999999999977</v>
      </c>
      <c r="G33" s="324">
        <v>0</v>
      </c>
      <c r="H33" s="323">
        <v>0</v>
      </c>
      <c r="I33" s="512">
        <v>0</v>
      </c>
      <c r="J33" s="512">
        <v>0</v>
      </c>
      <c r="K33" s="513">
        <f t="shared" si="2"/>
        <v>532.35</v>
      </c>
      <c r="L33" s="513">
        <f t="shared" si="3"/>
        <v>24.57</v>
      </c>
      <c r="M33" s="325">
        <f t="shared" si="4"/>
        <v>40.950000000000003</v>
      </c>
      <c r="N33" s="325">
        <f t="shared" si="5"/>
        <v>221.13000000000002</v>
      </c>
      <c r="O33" s="16"/>
    </row>
    <row r="34" spans="1:15" ht="14.25">
      <c r="A34" s="511">
        <v>27</v>
      </c>
      <c r="B34" s="511" t="s">
        <v>851</v>
      </c>
      <c r="C34" s="325">
        <v>1281</v>
      </c>
      <c r="D34" s="325">
        <f t="shared" si="0"/>
        <v>1152.9000000000001</v>
      </c>
      <c r="E34" s="323">
        <v>0</v>
      </c>
      <c r="F34" s="404">
        <f t="shared" si="1"/>
        <v>128.09999999999991</v>
      </c>
      <c r="G34" s="324">
        <v>0</v>
      </c>
      <c r="H34" s="323">
        <v>0</v>
      </c>
      <c r="I34" s="512">
        <v>0</v>
      </c>
      <c r="J34" s="512">
        <v>0</v>
      </c>
      <c r="K34" s="513">
        <f t="shared" si="2"/>
        <v>832.65</v>
      </c>
      <c r="L34" s="513">
        <f t="shared" si="3"/>
        <v>38.43</v>
      </c>
      <c r="M34" s="325">
        <f t="shared" si="4"/>
        <v>64.05</v>
      </c>
      <c r="N34" s="325">
        <f t="shared" si="5"/>
        <v>345.87</v>
      </c>
      <c r="O34" s="16"/>
    </row>
    <row r="35" spans="1:15" ht="14.25">
      <c r="A35" s="511">
        <v>28</v>
      </c>
      <c r="B35" s="511" t="s">
        <v>852</v>
      </c>
      <c r="C35" s="325">
        <v>261</v>
      </c>
      <c r="D35" s="325">
        <f t="shared" si="0"/>
        <v>234.9</v>
      </c>
      <c r="E35" s="323">
        <v>0</v>
      </c>
      <c r="F35" s="404">
        <f t="shared" si="1"/>
        <v>26.099999999999994</v>
      </c>
      <c r="G35" s="324">
        <v>0</v>
      </c>
      <c r="H35" s="323">
        <v>0</v>
      </c>
      <c r="I35" s="512">
        <v>0</v>
      </c>
      <c r="J35" s="512">
        <v>0</v>
      </c>
      <c r="K35" s="513">
        <f t="shared" si="2"/>
        <v>169.65</v>
      </c>
      <c r="L35" s="513">
        <f t="shared" si="3"/>
        <v>7.83</v>
      </c>
      <c r="M35" s="325">
        <f t="shared" si="4"/>
        <v>13.05</v>
      </c>
      <c r="N35" s="325">
        <f t="shared" si="5"/>
        <v>70.47</v>
      </c>
      <c r="O35" s="16"/>
    </row>
    <row r="36" spans="1:15" ht="14.25">
      <c r="A36" s="511">
        <v>29</v>
      </c>
      <c r="B36" s="511" t="s">
        <v>853</v>
      </c>
      <c r="C36" s="325">
        <v>1293</v>
      </c>
      <c r="D36" s="325">
        <f t="shared" si="0"/>
        <v>1163.7</v>
      </c>
      <c r="E36" s="323">
        <v>0</v>
      </c>
      <c r="F36" s="404">
        <f t="shared" si="1"/>
        <v>129.29999999999995</v>
      </c>
      <c r="G36" s="324">
        <v>0</v>
      </c>
      <c r="H36" s="323">
        <v>0</v>
      </c>
      <c r="I36" s="512">
        <v>0</v>
      </c>
      <c r="J36" s="512">
        <v>0</v>
      </c>
      <c r="K36" s="513">
        <f t="shared" si="2"/>
        <v>840.45</v>
      </c>
      <c r="L36" s="513">
        <f t="shared" si="3"/>
        <v>38.79</v>
      </c>
      <c r="M36" s="325">
        <f t="shared" si="4"/>
        <v>64.650000000000006</v>
      </c>
      <c r="N36" s="325">
        <f t="shared" si="5"/>
        <v>349.11</v>
      </c>
      <c r="O36" s="16"/>
    </row>
    <row r="37" spans="1:15" ht="14.25">
      <c r="A37" s="511">
        <v>30</v>
      </c>
      <c r="B37" s="511" t="s">
        <v>854</v>
      </c>
      <c r="C37" s="325">
        <v>661</v>
      </c>
      <c r="D37" s="325">
        <f t="shared" si="0"/>
        <v>594.9</v>
      </c>
      <c r="E37" s="323">
        <v>0</v>
      </c>
      <c r="F37" s="404">
        <f t="shared" si="1"/>
        <v>66.100000000000023</v>
      </c>
      <c r="G37" s="324">
        <v>0</v>
      </c>
      <c r="H37" s="323">
        <v>0</v>
      </c>
      <c r="I37" s="512">
        <v>0</v>
      </c>
      <c r="J37" s="512">
        <v>0</v>
      </c>
      <c r="K37" s="513">
        <f t="shared" si="2"/>
        <v>429.65000000000003</v>
      </c>
      <c r="L37" s="513">
        <f t="shared" si="3"/>
        <v>19.829999999999998</v>
      </c>
      <c r="M37" s="325">
        <f t="shared" si="4"/>
        <v>33.050000000000004</v>
      </c>
      <c r="N37" s="325">
        <f t="shared" si="5"/>
        <v>178.47</v>
      </c>
      <c r="O37" s="16"/>
    </row>
    <row r="38" spans="1:15" ht="14.25">
      <c r="A38" s="511">
        <v>31</v>
      </c>
      <c r="B38" s="511" t="s">
        <v>855</v>
      </c>
      <c r="C38" s="325">
        <v>594</v>
      </c>
      <c r="D38" s="325">
        <f t="shared" si="0"/>
        <v>534.6</v>
      </c>
      <c r="E38" s="323">
        <v>0</v>
      </c>
      <c r="F38" s="404">
        <f t="shared" si="1"/>
        <v>59.399999999999977</v>
      </c>
      <c r="G38" s="324">
        <v>0</v>
      </c>
      <c r="H38" s="323">
        <v>0</v>
      </c>
      <c r="I38" s="512">
        <v>0</v>
      </c>
      <c r="J38" s="512">
        <v>0</v>
      </c>
      <c r="K38" s="513">
        <f t="shared" si="2"/>
        <v>386.1</v>
      </c>
      <c r="L38" s="513">
        <f t="shared" si="3"/>
        <v>17.82</v>
      </c>
      <c r="M38" s="325">
        <f t="shared" si="4"/>
        <v>29.700000000000003</v>
      </c>
      <c r="N38" s="325">
        <f t="shared" si="5"/>
        <v>160.38000000000002</v>
      </c>
      <c r="O38" s="16"/>
    </row>
    <row r="39" spans="1:15" ht="14.25">
      <c r="A39" s="511">
        <v>32</v>
      </c>
      <c r="B39" s="511" t="s">
        <v>856</v>
      </c>
      <c r="C39" s="325">
        <v>1241</v>
      </c>
      <c r="D39" s="325">
        <f t="shared" si="0"/>
        <v>1116.9000000000001</v>
      </c>
      <c r="E39" s="323">
        <v>0</v>
      </c>
      <c r="F39" s="404">
        <f t="shared" si="1"/>
        <v>124.09999999999991</v>
      </c>
      <c r="G39" s="324">
        <v>0</v>
      </c>
      <c r="H39" s="323">
        <v>0</v>
      </c>
      <c r="I39" s="512">
        <v>0</v>
      </c>
      <c r="J39" s="512">
        <v>0</v>
      </c>
      <c r="K39" s="513">
        <f t="shared" si="2"/>
        <v>806.65</v>
      </c>
      <c r="L39" s="513">
        <f t="shared" si="3"/>
        <v>37.229999999999997</v>
      </c>
      <c r="M39" s="325">
        <f t="shared" si="4"/>
        <v>62.050000000000004</v>
      </c>
      <c r="N39" s="325">
        <f t="shared" si="5"/>
        <v>335.07000000000005</v>
      </c>
      <c r="O39" s="16"/>
    </row>
    <row r="40" spans="1:15" ht="14.25">
      <c r="A40" s="511">
        <v>33</v>
      </c>
      <c r="B40" s="511" t="s">
        <v>857</v>
      </c>
      <c r="C40" s="325">
        <v>595</v>
      </c>
      <c r="D40" s="325">
        <f t="shared" si="0"/>
        <v>535.5</v>
      </c>
      <c r="E40" s="323">
        <v>0</v>
      </c>
      <c r="F40" s="404">
        <f t="shared" si="1"/>
        <v>59.5</v>
      </c>
      <c r="G40" s="324">
        <v>0</v>
      </c>
      <c r="H40" s="323">
        <v>0</v>
      </c>
      <c r="I40" s="512">
        <v>0</v>
      </c>
      <c r="J40" s="512">
        <v>0</v>
      </c>
      <c r="K40" s="513">
        <f t="shared" si="2"/>
        <v>386.75</v>
      </c>
      <c r="L40" s="513">
        <f t="shared" si="3"/>
        <v>17.849999999999998</v>
      </c>
      <c r="M40" s="325">
        <f t="shared" si="4"/>
        <v>29.75</v>
      </c>
      <c r="N40" s="325">
        <f t="shared" si="5"/>
        <v>160.65</v>
      </c>
      <c r="O40" s="16"/>
    </row>
    <row r="41" spans="1:15" s="14" customFormat="1">
      <c r="A41" s="1377" t="s">
        <v>18</v>
      </c>
      <c r="B41" s="1378"/>
      <c r="C41" s="504">
        <v>34307</v>
      </c>
      <c r="D41" s="331">
        <f t="shared" si="0"/>
        <v>30876.3</v>
      </c>
      <c r="E41" s="514">
        <f>SUM(E8:E40)</f>
        <v>0</v>
      </c>
      <c r="F41" s="515">
        <f t="shared" si="1"/>
        <v>3430.7000000000007</v>
      </c>
      <c r="G41" s="267">
        <f>SUM(G8:G40)</f>
        <v>0</v>
      </c>
      <c r="H41" s="267">
        <f>SUM(H8:H40)</f>
        <v>0</v>
      </c>
      <c r="I41" s="512">
        <v>0</v>
      </c>
      <c r="J41" s="512">
        <v>0</v>
      </c>
      <c r="K41" s="516">
        <f t="shared" si="2"/>
        <v>22299.55</v>
      </c>
      <c r="L41" s="516">
        <f t="shared" si="3"/>
        <v>1029.21</v>
      </c>
      <c r="M41" s="331">
        <f t="shared" si="4"/>
        <v>1715.3500000000001</v>
      </c>
      <c r="N41" s="331">
        <f t="shared" si="5"/>
        <v>9262.8900000000012</v>
      </c>
      <c r="O41" s="517"/>
    </row>
    <row r="42" spans="1:15" ht="14.25">
      <c r="A42" s="505"/>
      <c r="B42" s="505"/>
      <c r="C42" s="505"/>
      <c r="D42" s="505"/>
      <c r="E42" s="505"/>
      <c r="F42" s="505"/>
      <c r="G42" s="505"/>
      <c r="H42" s="505"/>
      <c r="I42" s="518"/>
      <c r="J42" s="518"/>
      <c r="K42" s="518"/>
      <c r="L42" s="518"/>
      <c r="M42" s="505"/>
      <c r="N42" s="505"/>
      <c r="O42" s="16"/>
    </row>
    <row r="43" spans="1:15" ht="14.25">
      <c r="A43" s="505"/>
      <c r="B43" s="505"/>
      <c r="C43" s="505"/>
      <c r="D43" s="505"/>
      <c r="E43" s="505"/>
      <c r="F43" s="505"/>
      <c r="G43" s="505"/>
      <c r="H43" s="505"/>
      <c r="I43" s="518"/>
      <c r="J43" s="518"/>
      <c r="K43" s="518"/>
      <c r="L43" s="518"/>
      <c r="M43" s="505"/>
      <c r="N43" s="505"/>
      <c r="O43" s="16"/>
    </row>
    <row r="44" spans="1:15" s="994" customFormat="1" ht="15.75" customHeight="1">
      <c r="A44" s="15" t="s">
        <v>12</v>
      </c>
      <c r="B44" s="15"/>
      <c r="C44" s="15"/>
      <c r="H44" s="998"/>
      <c r="I44" s="998"/>
      <c r="K44" s="1040" t="s">
        <v>1106</v>
      </c>
      <c r="L44" s="1040"/>
      <c r="M44" s="1040"/>
    </row>
    <row r="45" spans="1:15" s="994" customFormat="1" ht="15.6" customHeight="1">
      <c r="H45" s="998"/>
      <c r="I45" s="998"/>
      <c r="K45" s="1040" t="s">
        <v>481</v>
      </c>
      <c r="L45" s="1040"/>
      <c r="M45" s="1040"/>
    </row>
    <row r="46" spans="1:15" s="994" customFormat="1" ht="15.6" customHeight="1">
      <c r="H46" s="998"/>
      <c r="I46" s="998"/>
      <c r="K46" s="1040" t="s">
        <v>1107</v>
      </c>
      <c r="L46" s="1040"/>
      <c r="M46" s="1040"/>
    </row>
  </sheetData>
  <mergeCells count="16">
    <mergeCell ref="A41:B41"/>
    <mergeCell ref="K44:M44"/>
    <mergeCell ref="K45:M45"/>
    <mergeCell ref="K46:M46"/>
    <mergeCell ref="A1:M1"/>
    <mergeCell ref="A2:M2"/>
    <mergeCell ref="A4:B4"/>
    <mergeCell ref="I5:I6"/>
    <mergeCell ref="J5:J6"/>
    <mergeCell ref="D5:H5"/>
    <mergeCell ref="K4:M4"/>
    <mergeCell ref="C5:C6"/>
    <mergeCell ref="A3:H3"/>
    <mergeCell ref="A5:A6"/>
    <mergeCell ref="B5:B6"/>
    <mergeCell ref="K5:N5"/>
  </mergeCells>
  <printOptions horizontalCentered="1"/>
  <pageMargins left="0.70866141732283472" right="0.70866141732283472" top="0.63" bottom="0" header="0.79" footer="0.31496062992125984"/>
  <pageSetup paperSize="9" scale="94"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K22"/>
  <sheetViews>
    <sheetView topLeftCell="C13" zoomScaleSheetLayoutView="120" workbookViewId="0">
      <selection activeCell="E13" sqref="E13"/>
    </sheetView>
  </sheetViews>
  <sheetFormatPr defaultRowHeight="12.75"/>
  <cols>
    <col min="1" max="1" width="12.5703125" customWidth="1"/>
    <col min="2" max="2" width="49.28515625" bestFit="1" customWidth="1"/>
    <col min="3" max="3" width="15.140625" customWidth="1"/>
    <col min="4" max="4" width="13.42578125" customWidth="1"/>
    <col min="5" max="5" width="11.28515625" customWidth="1"/>
    <col min="6" max="6" width="18.28515625" customWidth="1"/>
    <col min="7" max="7" width="16.140625" customWidth="1"/>
    <col min="8" max="8" width="18" bestFit="1" customWidth="1"/>
  </cols>
  <sheetData>
    <row r="1" spans="1:11" ht="18.75">
      <c r="A1" s="1398" t="s">
        <v>0</v>
      </c>
      <c r="B1" s="1398"/>
      <c r="C1" s="1398"/>
      <c r="D1" s="1398"/>
      <c r="E1" s="1398"/>
      <c r="F1" s="1398"/>
      <c r="G1" s="1398"/>
      <c r="H1" s="1394" t="s">
        <v>518</v>
      </c>
      <c r="I1" s="1394"/>
      <c r="J1" s="1395"/>
      <c r="K1" s="430"/>
    </row>
    <row r="2" spans="1:11" ht="18.75">
      <c r="A2" s="1396" t="s">
        <v>937</v>
      </c>
      <c r="B2" s="1396"/>
      <c r="C2" s="1396"/>
      <c r="D2" s="1396"/>
      <c r="E2" s="1396"/>
      <c r="F2" s="1396"/>
      <c r="G2" s="1396"/>
      <c r="H2" s="1397"/>
      <c r="I2" s="431"/>
      <c r="J2" s="431"/>
      <c r="K2" s="430"/>
    </row>
    <row r="3" spans="1:11" ht="18.75">
      <c r="A3" s="431" t="s">
        <v>517</v>
      </c>
      <c r="B3" s="431"/>
      <c r="C3" s="431"/>
      <c r="D3" s="431"/>
      <c r="E3" s="431"/>
      <c r="F3" s="431"/>
      <c r="G3" s="431"/>
      <c r="H3" s="431"/>
      <c r="I3" s="431"/>
      <c r="J3" s="431"/>
      <c r="K3" s="430"/>
    </row>
    <row r="4" spans="1:11" ht="18.75">
      <c r="A4" s="1401" t="s">
        <v>1047</v>
      </c>
      <c r="B4" s="1402"/>
      <c r="C4" s="431"/>
      <c r="D4" s="431"/>
      <c r="E4" s="431"/>
      <c r="F4" s="431"/>
      <c r="G4" s="1400" t="s">
        <v>792</v>
      </c>
      <c r="H4" s="1395"/>
      <c r="I4" s="431"/>
      <c r="J4" s="431"/>
      <c r="K4" s="430"/>
    </row>
    <row r="5" spans="1:11" ht="18.75">
      <c r="A5" s="432" t="s">
        <v>2</v>
      </c>
      <c r="B5" s="431" t="s">
        <v>938</v>
      </c>
      <c r="C5" s="431" t="s">
        <v>38</v>
      </c>
      <c r="D5" s="1398" t="s">
        <v>503</v>
      </c>
      <c r="E5" s="1398"/>
      <c r="F5" s="1398" t="s">
        <v>504</v>
      </c>
      <c r="G5" s="1398"/>
      <c r="H5" s="432" t="s">
        <v>231</v>
      </c>
      <c r="I5" s="431"/>
      <c r="J5" s="431"/>
      <c r="K5" s="430"/>
    </row>
    <row r="6" spans="1:11" ht="18.75">
      <c r="A6" s="431"/>
      <c r="B6" s="431" t="s">
        <v>939</v>
      </c>
      <c r="C6" s="431"/>
      <c r="D6" s="431" t="s">
        <v>499</v>
      </c>
      <c r="E6" s="431" t="s">
        <v>500</v>
      </c>
      <c r="F6" s="431" t="s">
        <v>501</v>
      </c>
      <c r="G6" s="431" t="s">
        <v>502</v>
      </c>
      <c r="H6" s="431"/>
      <c r="I6" s="431"/>
      <c r="J6" s="431"/>
      <c r="K6" s="430"/>
    </row>
    <row r="7" spans="1:11" ht="18.75">
      <c r="A7" s="432">
        <v>1</v>
      </c>
      <c r="B7" s="432">
        <v>2</v>
      </c>
      <c r="C7" s="432">
        <v>3</v>
      </c>
      <c r="D7" s="432">
        <v>4</v>
      </c>
      <c r="E7" s="432">
        <v>5</v>
      </c>
      <c r="F7" s="432">
        <v>6</v>
      </c>
      <c r="G7" s="432">
        <v>7</v>
      </c>
      <c r="H7" s="433">
        <v>8</v>
      </c>
      <c r="I7" s="431"/>
      <c r="J7" s="431"/>
      <c r="K7" s="430"/>
    </row>
    <row r="8" spans="1:11" ht="18.75">
      <c r="A8" s="432">
        <v>1</v>
      </c>
      <c r="B8" s="431" t="s">
        <v>940</v>
      </c>
      <c r="C8" s="431" t="s">
        <v>843</v>
      </c>
      <c r="D8" s="431">
        <v>120</v>
      </c>
      <c r="E8" s="431">
        <v>120</v>
      </c>
      <c r="F8" s="431">
        <v>94</v>
      </c>
      <c r="G8" s="434">
        <f t="shared" ref="G8:G13" si="0">E8-F8</f>
        <v>26</v>
      </c>
      <c r="H8" s="1399" t="s">
        <v>941</v>
      </c>
      <c r="I8" s="435"/>
      <c r="J8" s="431"/>
      <c r="K8" s="430"/>
    </row>
    <row r="9" spans="1:11" ht="18.75">
      <c r="A9" s="432">
        <v>2</v>
      </c>
      <c r="B9" s="431" t="s">
        <v>942</v>
      </c>
      <c r="C9" s="431" t="s">
        <v>943</v>
      </c>
      <c r="D9" s="431">
        <v>69</v>
      </c>
      <c r="E9" s="431">
        <v>69</v>
      </c>
      <c r="F9" s="431">
        <v>49</v>
      </c>
      <c r="G9" s="434">
        <f t="shared" si="0"/>
        <v>20</v>
      </c>
      <c r="H9" s="1399"/>
      <c r="I9" s="435"/>
      <c r="J9" s="431"/>
      <c r="K9" s="430"/>
    </row>
    <row r="10" spans="1:11" ht="18.75">
      <c r="A10" s="432">
        <v>3</v>
      </c>
      <c r="B10" s="431" t="s">
        <v>942</v>
      </c>
      <c r="C10" s="431" t="s">
        <v>835</v>
      </c>
      <c r="D10" s="431">
        <v>10</v>
      </c>
      <c r="E10" s="431">
        <v>10</v>
      </c>
      <c r="F10" s="431">
        <v>10</v>
      </c>
      <c r="G10" s="434">
        <f t="shared" si="0"/>
        <v>0</v>
      </c>
      <c r="H10" s="1399"/>
      <c r="I10" s="435"/>
      <c r="J10" s="431"/>
      <c r="K10" s="430"/>
    </row>
    <row r="11" spans="1:11" ht="18.75">
      <c r="A11" s="432">
        <v>4</v>
      </c>
      <c r="B11" s="431" t="s">
        <v>942</v>
      </c>
      <c r="C11" s="431" t="s">
        <v>944</v>
      </c>
      <c r="D11" s="431">
        <v>5</v>
      </c>
      <c r="E11" s="431">
        <v>5</v>
      </c>
      <c r="F11" s="431">
        <v>5</v>
      </c>
      <c r="G11" s="434">
        <f t="shared" si="0"/>
        <v>0</v>
      </c>
      <c r="H11" s="1399"/>
      <c r="I11" s="435"/>
      <c r="J11" s="431"/>
      <c r="K11" s="430"/>
    </row>
    <row r="12" spans="1:11" ht="18.75">
      <c r="A12" s="432">
        <v>5</v>
      </c>
      <c r="B12" s="431" t="s">
        <v>942</v>
      </c>
      <c r="C12" s="431" t="s">
        <v>945</v>
      </c>
      <c r="D12" s="431">
        <v>16</v>
      </c>
      <c r="E12" s="431">
        <v>16</v>
      </c>
      <c r="F12" s="431">
        <v>10</v>
      </c>
      <c r="G12" s="434">
        <f t="shared" si="0"/>
        <v>6</v>
      </c>
      <c r="H12" s="1399"/>
      <c r="I12" s="435"/>
      <c r="J12" s="431"/>
      <c r="K12" s="430"/>
    </row>
    <row r="13" spans="1:11" ht="18.75">
      <c r="A13" s="432">
        <v>6</v>
      </c>
      <c r="B13" s="431" t="s">
        <v>946</v>
      </c>
      <c r="C13" s="431"/>
      <c r="D13" s="431">
        <v>0</v>
      </c>
      <c r="E13" s="431">
        <v>0</v>
      </c>
      <c r="F13" s="431">
        <v>0</v>
      </c>
      <c r="G13" s="434">
        <f t="shared" si="0"/>
        <v>0</v>
      </c>
      <c r="H13" s="1399"/>
      <c r="I13" s="435"/>
      <c r="J13" s="431"/>
      <c r="K13" s="430"/>
    </row>
    <row r="14" spans="1:11" ht="18.75">
      <c r="A14" s="432"/>
      <c r="B14" s="431"/>
      <c r="C14" s="431"/>
      <c r="D14" s="431"/>
      <c r="E14" s="431"/>
      <c r="F14" s="431"/>
      <c r="G14" s="431"/>
      <c r="H14" s="436"/>
      <c r="I14" s="431"/>
      <c r="J14" s="431"/>
      <c r="K14" s="430"/>
    </row>
    <row r="15" spans="1:11" ht="18.75">
      <c r="A15" s="1001" t="s">
        <v>18</v>
      </c>
      <c r="B15" s="1002"/>
      <c r="C15" s="1002"/>
      <c r="D15" s="1002">
        <f>SUM(D8:D13)</f>
        <v>220</v>
      </c>
      <c r="E15" s="1002">
        <f>SUM(E8:E13)</f>
        <v>220</v>
      </c>
      <c r="F15" s="1002">
        <f>SUM(F8:F13)</f>
        <v>168</v>
      </c>
      <c r="G15" s="1002">
        <f>SUM(G8:G13)</f>
        <v>52</v>
      </c>
      <c r="H15" s="1003"/>
      <c r="I15" s="1003"/>
      <c r="J15" s="1003"/>
      <c r="K15" s="430"/>
    </row>
    <row r="16" spans="1:11" s="13" customFormat="1" ht="18.75">
      <c r="A16" s="1000"/>
      <c r="B16" s="1000"/>
      <c r="C16" s="1000"/>
      <c r="D16" s="1000"/>
      <c r="E16" s="1000"/>
      <c r="F16" s="1000"/>
      <c r="G16" s="1000"/>
      <c r="H16" s="1000"/>
      <c r="I16" s="1000"/>
      <c r="J16" s="1000"/>
      <c r="K16" s="1000"/>
    </row>
    <row r="17" spans="1:11" ht="18.75">
      <c r="A17" s="1000"/>
      <c r="B17" s="1000"/>
      <c r="C17" s="1000"/>
      <c r="D17" s="1000"/>
      <c r="E17" s="1000"/>
      <c r="F17" s="1000"/>
      <c r="G17" s="1000"/>
      <c r="H17" s="1000"/>
      <c r="I17" s="1000"/>
      <c r="J17" s="1000"/>
      <c r="K17" s="430"/>
    </row>
    <row r="18" spans="1:11" s="994" customFormat="1" ht="15.75" customHeight="1">
      <c r="A18" s="15" t="s">
        <v>12</v>
      </c>
      <c r="B18" s="15"/>
      <c r="C18" s="15"/>
      <c r="H18" s="998"/>
      <c r="I18" s="998"/>
    </row>
    <row r="19" spans="1:11" s="994" customFormat="1" ht="15.6" customHeight="1">
      <c r="H19" s="1040" t="s">
        <v>1106</v>
      </c>
      <c r="I19" s="1040"/>
      <c r="J19" s="1040"/>
    </row>
    <row r="20" spans="1:11" s="994" customFormat="1" ht="15.6" customHeight="1">
      <c r="H20" s="1040" t="s">
        <v>481</v>
      </c>
      <c r="I20" s="1040"/>
      <c r="J20" s="1040"/>
    </row>
    <row r="21" spans="1:11" ht="18.75">
      <c r="A21" s="430"/>
      <c r="B21" s="430"/>
      <c r="C21" s="430"/>
      <c r="D21" s="430"/>
      <c r="E21" s="430"/>
      <c r="F21" s="430"/>
      <c r="G21" s="430"/>
      <c r="H21" s="1040" t="s">
        <v>1107</v>
      </c>
      <c r="I21" s="1040"/>
      <c r="J21" s="1040"/>
      <c r="K21" s="430"/>
    </row>
    <row r="22" spans="1:11" ht="18.75">
      <c r="A22" s="430"/>
      <c r="B22" s="430"/>
      <c r="C22" s="430"/>
      <c r="D22" s="430"/>
      <c r="E22" s="430"/>
      <c r="F22" s="430"/>
      <c r="G22" s="430"/>
      <c r="H22" s="430"/>
      <c r="I22" s="430"/>
      <c r="J22" s="430"/>
      <c r="K22" s="430"/>
    </row>
  </sheetData>
  <mergeCells count="11">
    <mergeCell ref="H19:J19"/>
    <mergeCell ref="H20:J20"/>
    <mergeCell ref="H21:J21"/>
    <mergeCell ref="H1:J1"/>
    <mergeCell ref="A2:H2"/>
    <mergeCell ref="D5:E5"/>
    <mergeCell ref="F5:G5"/>
    <mergeCell ref="H8:H13"/>
    <mergeCell ref="G4:H4"/>
    <mergeCell ref="A1:G1"/>
    <mergeCell ref="A4:B4"/>
  </mergeCells>
  <printOptions horizontalCentered="1"/>
  <pageMargins left="0.70866141732283472" right="0.70866141732283472" top="0.63" bottom="0" header="0.79" footer="0.31496062992125984"/>
  <pageSetup paperSize="9" scale="86"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N48"/>
  <sheetViews>
    <sheetView topLeftCell="A34" zoomScaleSheetLayoutView="84" workbookViewId="0">
      <selection activeCell="E13" sqref="E13"/>
    </sheetView>
  </sheetViews>
  <sheetFormatPr defaultRowHeight="12.75"/>
  <cols>
    <col min="1" max="1" width="7.42578125" customWidth="1"/>
    <col min="2" max="2" width="15.85546875" bestFit="1" customWidth="1"/>
    <col min="5" max="5" width="10" bestFit="1" customWidth="1"/>
    <col min="7" max="7" width="10" customWidth="1"/>
    <col min="11" max="11" width="22.140625" bestFit="1" customWidth="1"/>
    <col min="12" max="12" width="11" customWidth="1"/>
  </cols>
  <sheetData>
    <row r="1" spans="1:14" ht="18">
      <c r="A1" s="1404" t="s">
        <v>0</v>
      </c>
      <c r="B1" s="1404"/>
      <c r="C1" s="1404"/>
      <c r="D1" s="1404"/>
      <c r="E1" s="1404"/>
      <c r="F1" s="1404"/>
      <c r="G1" s="1404"/>
      <c r="H1" s="1404"/>
      <c r="I1" s="1404"/>
      <c r="J1" s="1404"/>
      <c r="K1" s="1404"/>
      <c r="L1" s="524" t="s">
        <v>520</v>
      </c>
      <c r="M1" s="525"/>
      <c r="N1" s="525"/>
    </row>
    <row r="2" spans="1:14" ht="21">
      <c r="A2" s="1411" t="s">
        <v>636</v>
      </c>
      <c r="B2" s="1411"/>
      <c r="C2" s="1411"/>
      <c r="D2" s="1411"/>
      <c r="E2" s="1411"/>
      <c r="F2" s="1411"/>
      <c r="G2" s="1411"/>
      <c r="H2" s="1411"/>
      <c r="I2" s="1411"/>
      <c r="J2" s="1411"/>
      <c r="K2" s="1411"/>
      <c r="L2" s="525"/>
      <c r="M2" s="525"/>
      <c r="N2" s="525"/>
    </row>
    <row r="3" spans="1:14" ht="15">
      <c r="A3" s="526"/>
      <c r="B3" s="526"/>
      <c r="C3" s="526"/>
      <c r="D3" s="526"/>
      <c r="E3" s="526"/>
      <c r="F3" s="526"/>
      <c r="G3" s="526"/>
      <c r="H3" s="526"/>
      <c r="I3" s="526"/>
      <c r="J3" s="526"/>
      <c r="K3" s="526"/>
      <c r="L3" s="525"/>
      <c r="M3" s="525"/>
      <c r="N3" s="525"/>
    </row>
    <row r="4" spans="1:14" ht="18">
      <c r="A4" s="1404" t="s">
        <v>519</v>
      </c>
      <c r="B4" s="1404"/>
      <c r="C4" s="1404"/>
      <c r="D4" s="1404"/>
      <c r="E4" s="1404"/>
      <c r="F4" s="1404"/>
      <c r="G4" s="1404"/>
      <c r="H4" s="1404"/>
      <c r="I4" s="1404"/>
      <c r="J4" s="1404"/>
      <c r="K4" s="1404"/>
      <c r="L4" s="525"/>
      <c r="M4" s="525"/>
      <c r="N4" s="525"/>
    </row>
    <row r="5" spans="1:14" ht="15">
      <c r="A5" s="1412" t="s">
        <v>905</v>
      </c>
      <c r="B5" s="1412"/>
      <c r="C5" s="527"/>
      <c r="D5" s="527"/>
      <c r="E5" s="527"/>
      <c r="F5" s="527"/>
      <c r="G5" s="527"/>
      <c r="H5" s="527"/>
      <c r="I5" s="527"/>
      <c r="J5" s="1403" t="s">
        <v>793</v>
      </c>
      <c r="K5" s="1403"/>
      <c r="L5" s="525"/>
      <c r="M5" s="525"/>
      <c r="N5" s="525"/>
    </row>
    <row r="6" spans="1:14">
      <c r="A6" s="1409" t="s">
        <v>2</v>
      </c>
      <c r="B6" s="1409" t="s">
        <v>38</v>
      </c>
      <c r="C6" s="1405" t="s">
        <v>466</v>
      </c>
      <c r="D6" s="1406"/>
      <c r="E6" s="1407"/>
      <c r="F6" s="1405" t="s">
        <v>471</v>
      </c>
      <c r="G6" s="1406"/>
      <c r="H6" s="1406"/>
      <c r="I6" s="1407"/>
      <c r="J6" s="1408" t="s">
        <v>473</v>
      </c>
      <c r="K6" s="1408"/>
      <c r="L6" s="1408"/>
      <c r="M6" s="529"/>
      <c r="N6" s="529"/>
    </row>
    <row r="7" spans="1:14" ht="45">
      <c r="A7" s="1410"/>
      <c r="B7" s="1410"/>
      <c r="C7" s="530" t="s">
        <v>221</v>
      </c>
      <c r="D7" s="530" t="s">
        <v>468</v>
      </c>
      <c r="E7" s="530" t="s">
        <v>472</v>
      </c>
      <c r="F7" s="530" t="s">
        <v>221</v>
      </c>
      <c r="G7" s="530" t="s">
        <v>467</v>
      </c>
      <c r="H7" s="530" t="s">
        <v>469</v>
      </c>
      <c r="I7" s="530" t="s">
        <v>472</v>
      </c>
      <c r="J7" s="528" t="s">
        <v>1017</v>
      </c>
      <c r="K7" s="528" t="s">
        <v>470</v>
      </c>
      <c r="L7" s="530" t="s">
        <v>472</v>
      </c>
      <c r="M7" s="529"/>
      <c r="N7" s="529"/>
    </row>
    <row r="8" spans="1:14" ht="15">
      <c r="A8" s="531" t="s">
        <v>268</v>
      </c>
      <c r="B8" s="531" t="s">
        <v>269</v>
      </c>
      <c r="C8" s="531" t="s">
        <v>270</v>
      </c>
      <c r="D8" s="531" t="s">
        <v>271</v>
      </c>
      <c r="E8" s="531" t="s">
        <v>272</v>
      </c>
      <c r="F8" s="531" t="s">
        <v>273</v>
      </c>
      <c r="G8" s="531" t="s">
        <v>274</v>
      </c>
      <c r="H8" s="531" t="s">
        <v>275</v>
      </c>
      <c r="I8" s="531" t="s">
        <v>293</v>
      </c>
      <c r="J8" s="531" t="s">
        <v>294</v>
      </c>
      <c r="K8" s="531" t="s">
        <v>295</v>
      </c>
      <c r="L8" s="531" t="s">
        <v>323</v>
      </c>
      <c r="M8" s="525"/>
      <c r="N8" s="525"/>
    </row>
    <row r="9" spans="1:14" ht="14.25">
      <c r="A9" s="532">
        <v>1</v>
      </c>
      <c r="B9" s="533" t="s">
        <v>825</v>
      </c>
      <c r="C9" s="325">
        <v>1295</v>
      </c>
      <c r="D9" s="534">
        <v>233241</v>
      </c>
      <c r="E9" s="534">
        <v>3126102</v>
      </c>
      <c r="F9" s="535">
        <v>82</v>
      </c>
      <c r="G9" s="535">
        <v>36526</v>
      </c>
      <c r="H9" s="1413" t="s">
        <v>1018</v>
      </c>
      <c r="I9" s="534">
        <v>433590</v>
      </c>
      <c r="J9" s="534"/>
      <c r="K9" s="536"/>
      <c r="L9" s="534"/>
      <c r="M9" s="525"/>
      <c r="N9" s="537" t="s">
        <v>11</v>
      </c>
    </row>
    <row r="10" spans="1:14" ht="14.25">
      <c r="A10" s="532">
        <v>2</v>
      </c>
      <c r="B10" s="533" t="s">
        <v>826</v>
      </c>
      <c r="C10" s="325">
        <v>811</v>
      </c>
      <c r="D10" s="534">
        <v>76588</v>
      </c>
      <c r="E10" s="534">
        <v>627910</v>
      </c>
      <c r="F10" s="535">
        <v>45</v>
      </c>
      <c r="G10" s="535">
        <v>6425</v>
      </c>
      <c r="H10" s="1414"/>
      <c r="I10" s="534">
        <v>130642</v>
      </c>
      <c r="J10" s="534"/>
      <c r="K10" s="536"/>
      <c r="L10" s="534"/>
      <c r="M10" s="525"/>
      <c r="N10" s="525"/>
    </row>
    <row r="11" spans="1:14" ht="14.25">
      <c r="A11" s="532">
        <v>3</v>
      </c>
      <c r="B11" s="533" t="s">
        <v>827</v>
      </c>
      <c r="C11" s="325">
        <v>1449</v>
      </c>
      <c r="D11" s="534">
        <v>32803</v>
      </c>
      <c r="E11" s="534">
        <v>4110207</v>
      </c>
      <c r="F11" s="535">
        <v>126</v>
      </c>
      <c r="G11" s="535">
        <v>12464</v>
      </c>
      <c r="H11" s="1414"/>
      <c r="I11" s="534">
        <v>117564</v>
      </c>
      <c r="J11" s="534"/>
      <c r="K11" s="536"/>
      <c r="L11" s="534"/>
      <c r="M11" s="525"/>
      <c r="N11" s="525"/>
    </row>
    <row r="12" spans="1:14" ht="14.25">
      <c r="A12" s="532">
        <v>4</v>
      </c>
      <c r="B12" s="533" t="s">
        <v>828</v>
      </c>
      <c r="C12" s="325">
        <v>1101</v>
      </c>
      <c r="D12" s="534">
        <v>285994</v>
      </c>
      <c r="E12" s="534">
        <v>11541065</v>
      </c>
      <c r="F12" s="535">
        <v>0</v>
      </c>
      <c r="G12" s="535">
        <v>0</v>
      </c>
      <c r="H12" s="1414"/>
      <c r="I12" s="534">
        <v>0</v>
      </c>
      <c r="J12" s="534"/>
      <c r="K12" s="536"/>
      <c r="L12" s="534"/>
      <c r="M12" s="525"/>
      <c r="N12" s="525"/>
    </row>
    <row r="13" spans="1:14" ht="14.25">
      <c r="A13" s="532">
        <v>5</v>
      </c>
      <c r="B13" s="533" t="s">
        <v>829</v>
      </c>
      <c r="C13" s="325">
        <v>2551</v>
      </c>
      <c r="D13" s="534">
        <v>1149447</v>
      </c>
      <c r="E13" s="534">
        <v>21332217</v>
      </c>
      <c r="F13" s="535">
        <v>452</v>
      </c>
      <c r="G13" s="535">
        <v>125246</v>
      </c>
      <c r="H13" s="1414"/>
      <c r="I13" s="534">
        <v>930234</v>
      </c>
      <c r="J13" s="534"/>
      <c r="K13" s="536"/>
      <c r="L13" s="534"/>
      <c r="M13" s="525"/>
      <c r="N13" s="525"/>
    </row>
    <row r="14" spans="1:14" ht="14.25">
      <c r="A14" s="532">
        <v>6</v>
      </c>
      <c r="B14" s="533" t="s">
        <v>830</v>
      </c>
      <c r="C14" s="325">
        <v>990</v>
      </c>
      <c r="D14" s="534">
        <v>102073</v>
      </c>
      <c r="E14" s="534">
        <v>510365</v>
      </c>
      <c r="F14" s="535">
        <v>115</v>
      </c>
      <c r="G14" s="535">
        <v>8466</v>
      </c>
      <c r="H14" s="1414"/>
      <c r="I14" s="534">
        <v>137465</v>
      </c>
      <c r="J14" s="534"/>
      <c r="K14" s="536"/>
      <c r="L14" s="534"/>
      <c r="M14" s="525"/>
      <c r="N14" s="525"/>
    </row>
    <row r="15" spans="1:14" ht="14.25">
      <c r="A15" s="532">
        <v>7</v>
      </c>
      <c r="B15" s="533" t="s">
        <v>831</v>
      </c>
      <c r="C15" s="325">
        <v>700</v>
      </c>
      <c r="D15" s="534">
        <v>176664</v>
      </c>
      <c r="E15" s="534">
        <v>566554</v>
      </c>
      <c r="F15" s="535">
        <v>37</v>
      </c>
      <c r="G15" s="535">
        <v>15642</v>
      </c>
      <c r="H15" s="1414"/>
      <c r="I15" s="534">
        <v>126783</v>
      </c>
      <c r="J15" s="534"/>
      <c r="K15" s="536"/>
      <c r="L15" s="534"/>
      <c r="M15" s="525"/>
      <c r="N15" s="525"/>
    </row>
    <row r="16" spans="1:14" s="437" customFormat="1" ht="13.5" customHeight="1">
      <c r="A16" s="538">
        <v>8</v>
      </c>
      <c r="B16" s="539" t="s">
        <v>832</v>
      </c>
      <c r="C16" s="325">
        <v>1051</v>
      </c>
      <c r="D16" s="534">
        <v>718455</v>
      </c>
      <c r="E16" s="534">
        <v>4044274</v>
      </c>
      <c r="F16" s="535">
        <v>36</v>
      </c>
      <c r="G16" s="535">
        <v>13641</v>
      </c>
      <c r="H16" s="1414"/>
      <c r="I16" s="534">
        <v>355780</v>
      </c>
      <c r="J16" s="534">
        <v>398</v>
      </c>
      <c r="K16" s="536" t="s">
        <v>1019</v>
      </c>
      <c r="L16" s="534">
        <v>264050</v>
      </c>
      <c r="M16" s="540"/>
      <c r="N16" s="540"/>
    </row>
    <row r="17" spans="1:12" ht="14.25">
      <c r="A17" s="532">
        <v>9</v>
      </c>
      <c r="B17" s="533" t="s">
        <v>833</v>
      </c>
      <c r="C17" s="325">
        <v>1791</v>
      </c>
      <c r="D17" s="534">
        <v>268371</v>
      </c>
      <c r="E17" s="534">
        <v>1952069</v>
      </c>
      <c r="F17" s="535">
        <v>1751</v>
      </c>
      <c r="G17" s="535">
        <v>31535</v>
      </c>
      <c r="H17" s="1414"/>
      <c r="I17" s="534">
        <v>0</v>
      </c>
      <c r="J17" s="534"/>
      <c r="K17" s="536"/>
      <c r="L17" s="534"/>
    </row>
    <row r="18" spans="1:12" ht="14.25">
      <c r="A18" s="532">
        <v>10</v>
      </c>
      <c r="B18" s="533" t="s">
        <v>834</v>
      </c>
      <c r="C18" s="325">
        <v>432</v>
      </c>
      <c r="D18" s="534">
        <v>5829</v>
      </c>
      <c r="E18" s="534">
        <v>233160</v>
      </c>
      <c r="F18" s="535">
        <v>0</v>
      </c>
      <c r="G18" s="535">
        <v>0</v>
      </c>
      <c r="H18" s="1414"/>
      <c r="I18" s="534">
        <v>0</v>
      </c>
      <c r="J18" s="534"/>
      <c r="K18" s="536"/>
      <c r="L18" s="534"/>
    </row>
    <row r="19" spans="1:12" ht="14.25">
      <c r="A19" s="532">
        <v>11</v>
      </c>
      <c r="B19" s="533" t="s">
        <v>835</v>
      </c>
      <c r="C19" s="325">
        <v>629</v>
      </c>
      <c r="D19" s="534">
        <v>15756</v>
      </c>
      <c r="E19" s="534">
        <v>451440</v>
      </c>
      <c r="F19" s="535">
        <v>0</v>
      </c>
      <c r="G19" s="535">
        <v>0</v>
      </c>
      <c r="H19" s="1414"/>
      <c r="I19" s="534">
        <v>0</v>
      </c>
      <c r="J19" s="534"/>
      <c r="K19" s="536"/>
      <c r="L19" s="534"/>
    </row>
    <row r="20" spans="1:12" ht="12.75" customHeight="1">
      <c r="A20" s="532">
        <v>12</v>
      </c>
      <c r="B20" s="533" t="s">
        <v>836</v>
      </c>
      <c r="C20" s="325">
        <v>1459</v>
      </c>
      <c r="D20" s="534">
        <v>52974</v>
      </c>
      <c r="E20" s="534">
        <v>158922</v>
      </c>
      <c r="F20" s="535">
        <v>123</v>
      </c>
      <c r="G20" s="535">
        <v>178642</v>
      </c>
      <c r="H20" s="1414"/>
      <c r="I20" s="534">
        <v>24842</v>
      </c>
      <c r="J20" s="534">
        <v>1424</v>
      </c>
      <c r="K20" s="536" t="s">
        <v>1020</v>
      </c>
      <c r="L20" s="534">
        <v>870</v>
      </c>
    </row>
    <row r="21" spans="1:12" ht="12.75" customHeight="1">
      <c r="A21" s="532">
        <v>13</v>
      </c>
      <c r="B21" s="533" t="s">
        <v>837</v>
      </c>
      <c r="C21" s="325">
        <v>1734</v>
      </c>
      <c r="D21" s="534">
        <v>2392</v>
      </c>
      <c r="E21" s="534">
        <v>11839</v>
      </c>
      <c r="F21" s="535">
        <v>218</v>
      </c>
      <c r="G21" s="535">
        <v>103020</v>
      </c>
      <c r="H21" s="1414"/>
      <c r="I21" s="534">
        <v>328451</v>
      </c>
      <c r="J21" s="534"/>
      <c r="K21" s="536"/>
      <c r="L21" s="534"/>
    </row>
    <row r="22" spans="1:12" ht="12.75" customHeight="1">
      <c r="A22" s="532">
        <v>14</v>
      </c>
      <c r="B22" s="533" t="s">
        <v>838</v>
      </c>
      <c r="C22" s="325">
        <v>794</v>
      </c>
      <c r="D22" s="534">
        <v>926982</v>
      </c>
      <c r="E22" s="534">
        <v>4322109</v>
      </c>
      <c r="F22" s="535">
        <v>0</v>
      </c>
      <c r="G22" s="535">
        <v>0</v>
      </c>
      <c r="H22" s="1414"/>
      <c r="I22" s="534">
        <v>0</v>
      </c>
      <c r="J22" s="534"/>
      <c r="K22" s="536"/>
      <c r="L22" s="534"/>
    </row>
    <row r="23" spans="1:12" ht="14.25">
      <c r="A23" s="532">
        <v>15</v>
      </c>
      <c r="B23" s="533" t="s">
        <v>839</v>
      </c>
      <c r="C23" s="325">
        <v>824</v>
      </c>
      <c r="D23" s="541">
        <v>121860</v>
      </c>
      <c r="E23" s="541">
        <v>1471478</v>
      </c>
      <c r="F23" s="542">
        <v>0</v>
      </c>
      <c r="G23" s="542">
        <v>0</v>
      </c>
      <c r="H23" s="1414"/>
      <c r="I23" s="541">
        <v>0</v>
      </c>
      <c r="J23" s="541"/>
      <c r="K23" s="536"/>
      <c r="L23" s="541"/>
    </row>
    <row r="24" spans="1:12" ht="10.5" customHeight="1">
      <c r="A24" s="532">
        <v>16</v>
      </c>
      <c r="B24" s="533" t="s">
        <v>840</v>
      </c>
      <c r="C24" s="325">
        <v>335</v>
      </c>
      <c r="D24" s="541">
        <v>74066</v>
      </c>
      <c r="E24" s="541">
        <v>1358754</v>
      </c>
      <c r="F24" s="542">
        <v>118</v>
      </c>
      <c r="G24" s="542">
        <v>45425</v>
      </c>
      <c r="H24" s="1414"/>
      <c r="I24" s="541">
        <v>110864</v>
      </c>
      <c r="J24" s="541"/>
      <c r="K24" s="536" t="s">
        <v>1021</v>
      </c>
      <c r="L24" s="541">
        <v>2000</v>
      </c>
    </row>
    <row r="25" spans="1:12" ht="14.25">
      <c r="A25" s="532">
        <v>17</v>
      </c>
      <c r="B25" s="533" t="s">
        <v>841</v>
      </c>
      <c r="C25" s="325">
        <v>1102</v>
      </c>
      <c r="D25" s="541">
        <v>370838</v>
      </c>
      <c r="E25" s="541">
        <v>9671565</v>
      </c>
      <c r="F25" s="542">
        <v>105</v>
      </c>
      <c r="G25" s="542">
        <v>126422</v>
      </c>
      <c r="H25" s="1414"/>
      <c r="I25" s="541">
        <v>1264211</v>
      </c>
      <c r="J25" s="541"/>
      <c r="K25" s="536"/>
      <c r="L25" s="541"/>
    </row>
    <row r="26" spans="1:12" ht="14.25">
      <c r="A26" s="532">
        <v>18</v>
      </c>
      <c r="B26" s="533" t="s">
        <v>842</v>
      </c>
      <c r="C26" s="325">
        <v>855</v>
      </c>
      <c r="D26" s="541">
        <v>148825</v>
      </c>
      <c r="E26" s="541">
        <v>4629705</v>
      </c>
      <c r="F26" s="542">
        <v>0</v>
      </c>
      <c r="G26" s="542">
        <v>0</v>
      </c>
      <c r="H26" s="1414"/>
      <c r="I26" s="541">
        <v>0</v>
      </c>
      <c r="J26" s="541"/>
      <c r="K26" s="536"/>
      <c r="L26" s="541"/>
    </row>
    <row r="27" spans="1:12" ht="14.25">
      <c r="A27" s="532">
        <v>19</v>
      </c>
      <c r="B27" s="533" t="s">
        <v>843</v>
      </c>
      <c r="C27" s="325">
        <v>1037</v>
      </c>
      <c r="D27" s="541">
        <v>300347</v>
      </c>
      <c r="E27" s="541">
        <v>2424641</v>
      </c>
      <c r="F27" s="542">
        <v>562</v>
      </c>
      <c r="G27" s="542">
        <v>115436</v>
      </c>
      <c r="H27" s="1414"/>
      <c r="I27" s="541">
        <v>212345</v>
      </c>
      <c r="J27" s="541"/>
      <c r="K27" s="536"/>
      <c r="L27" s="541"/>
    </row>
    <row r="28" spans="1:12" ht="14.25">
      <c r="A28" s="532">
        <v>20</v>
      </c>
      <c r="B28" s="533" t="s">
        <v>844</v>
      </c>
      <c r="C28" s="325">
        <v>1317</v>
      </c>
      <c r="D28" s="541">
        <v>559580</v>
      </c>
      <c r="E28" s="541">
        <v>13369766</v>
      </c>
      <c r="F28" s="542">
        <v>0</v>
      </c>
      <c r="G28" s="542">
        <v>0</v>
      </c>
      <c r="H28" s="1414"/>
      <c r="I28" s="541">
        <v>0</v>
      </c>
      <c r="J28" s="541"/>
      <c r="K28" s="536"/>
      <c r="L28" s="541"/>
    </row>
    <row r="29" spans="1:12" ht="14.25">
      <c r="A29" s="532">
        <v>21</v>
      </c>
      <c r="B29" s="533" t="s">
        <v>845</v>
      </c>
      <c r="C29" s="325">
        <v>1372</v>
      </c>
      <c r="D29" s="541">
        <v>15736</v>
      </c>
      <c r="E29" s="541">
        <v>269352</v>
      </c>
      <c r="F29" s="542">
        <v>122</v>
      </c>
      <c r="G29" s="542">
        <v>13864</v>
      </c>
      <c r="H29" s="1414"/>
      <c r="I29" s="541">
        <v>26545</v>
      </c>
      <c r="J29" s="541"/>
      <c r="K29" s="536"/>
      <c r="L29" s="541"/>
    </row>
    <row r="30" spans="1:12" ht="14.25" customHeight="1">
      <c r="A30" s="532">
        <v>22</v>
      </c>
      <c r="B30" s="533" t="s">
        <v>846</v>
      </c>
      <c r="C30" s="325">
        <v>910</v>
      </c>
      <c r="D30" s="541">
        <v>306465</v>
      </c>
      <c r="E30" s="541">
        <v>4696915</v>
      </c>
      <c r="F30" s="542">
        <v>35</v>
      </c>
      <c r="G30" s="542">
        <v>51427</v>
      </c>
      <c r="H30" s="1414"/>
      <c r="I30" s="541">
        <v>125847</v>
      </c>
      <c r="J30" s="541">
        <v>63</v>
      </c>
      <c r="K30" s="536" t="s">
        <v>1021</v>
      </c>
      <c r="L30" s="541">
        <v>22010</v>
      </c>
    </row>
    <row r="31" spans="1:12" ht="14.25">
      <c r="A31" s="532">
        <v>23</v>
      </c>
      <c r="B31" s="533" t="s">
        <v>847</v>
      </c>
      <c r="C31" s="325">
        <v>1244</v>
      </c>
      <c r="D31" s="541">
        <v>94326</v>
      </c>
      <c r="E31" s="541">
        <v>1042116</v>
      </c>
      <c r="F31" s="542">
        <v>0</v>
      </c>
      <c r="G31" s="542">
        <v>0</v>
      </c>
      <c r="H31" s="1414"/>
      <c r="I31" s="541">
        <v>0</v>
      </c>
      <c r="J31" s="541"/>
      <c r="K31" s="536"/>
      <c r="L31" s="541"/>
    </row>
    <row r="32" spans="1:12" ht="14.25">
      <c r="A32" s="532">
        <v>24</v>
      </c>
      <c r="B32" s="533" t="s">
        <v>848</v>
      </c>
      <c r="C32" s="325">
        <v>1008</v>
      </c>
      <c r="D32" s="541">
        <v>0</v>
      </c>
      <c r="E32" s="541">
        <v>0</v>
      </c>
      <c r="F32" s="542">
        <v>0</v>
      </c>
      <c r="G32" s="542">
        <v>0</v>
      </c>
      <c r="H32" s="1414"/>
      <c r="I32" s="541">
        <v>0</v>
      </c>
      <c r="J32" s="541"/>
      <c r="K32" s="536"/>
      <c r="L32" s="541"/>
    </row>
    <row r="33" spans="1:13" ht="14.25">
      <c r="A33" s="532">
        <v>25</v>
      </c>
      <c r="B33" s="533" t="s">
        <v>849</v>
      </c>
      <c r="C33" s="325">
        <v>771</v>
      </c>
      <c r="D33" s="541">
        <v>30870</v>
      </c>
      <c r="E33" s="541">
        <v>1139476</v>
      </c>
      <c r="F33" s="542">
        <v>82</v>
      </c>
      <c r="G33" s="542">
        <v>12546</v>
      </c>
      <c r="H33" s="1414"/>
      <c r="I33" s="541">
        <v>12898</v>
      </c>
      <c r="J33" s="541"/>
      <c r="K33" s="536"/>
      <c r="L33" s="541"/>
    </row>
    <row r="34" spans="1:13" ht="14.25">
      <c r="A34" s="532">
        <v>26</v>
      </c>
      <c r="B34" s="533" t="s">
        <v>850</v>
      </c>
      <c r="C34" s="325">
        <v>819</v>
      </c>
      <c r="D34" s="541">
        <v>4677</v>
      </c>
      <c r="E34" s="541">
        <v>60965</v>
      </c>
      <c r="F34" s="542">
        <v>89</v>
      </c>
      <c r="G34" s="542">
        <v>6548</v>
      </c>
      <c r="H34" s="1414"/>
      <c r="I34" s="541">
        <v>132564</v>
      </c>
      <c r="J34" s="541"/>
      <c r="K34" s="543"/>
      <c r="L34" s="541"/>
    </row>
    <row r="35" spans="1:13" ht="14.25">
      <c r="A35" s="532">
        <v>27</v>
      </c>
      <c r="B35" s="533" t="s">
        <v>851</v>
      </c>
      <c r="C35" s="325">
        <v>1281</v>
      </c>
      <c r="D35" s="541">
        <v>837343</v>
      </c>
      <c r="E35" s="541">
        <v>4419948</v>
      </c>
      <c r="F35" s="542">
        <v>0</v>
      </c>
      <c r="G35" s="542">
        <v>0</v>
      </c>
      <c r="H35" s="1414"/>
      <c r="I35" s="541">
        <v>0</v>
      </c>
      <c r="J35" s="541"/>
      <c r="K35" s="543"/>
      <c r="L35" s="541"/>
    </row>
    <row r="36" spans="1:13" ht="14.25">
      <c r="A36" s="532">
        <v>28</v>
      </c>
      <c r="B36" s="533" t="s">
        <v>852</v>
      </c>
      <c r="C36" s="325">
        <v>261</v>
      </c>
      <c r="D36" s="541">
        <v>103241</v>
      </c>
      <c r="E36" s="541">
        <v>941675</v>
      </c>
      <c r="F36" s="542">
        <v>30</v>
      </c>
      <c r="G36" s="542">
        <v>7648</v>
      </c>
      <c r="H36" s="1414"/>
      <c r="I36" s="541">
        <v>5648</v>
      </c>
      <c r="J36" s="541"/>
      <c r="K36" s="534"/>
      <c r="L36" s="541"/>
    </row>
    <row r="37" spans="1:13" ht="14.25">
      <c r="A37" s="532">
        <v>29</v>
      </c>
      <c r="B37" s="533" t="s">
        <v>853</v>
      </c>
      <c r="C37" s="325">
        <v>1293</v>
      </c>
      <c r="D37" s="541">
        <v>451000</v>
      </c>
      <c r="E37" s="541">
        <v>782055</v>
      </c>
      <c r="F37" s="542">
        <v>32</v>
      </c>
      <c r="G37" s="542">
        <v>15562</v>
      </c>
      <c r="H37" s="1414"/>
      <c r="I37" s="541">
        <v>45689</v>
      </c>
      <c r="J37" s="541"/>
      <c r="K37" s="534"/>
      <c r="L37" s="541"/>
    </row>
    <row r="38" spans="1:13" ht="14.25">
      <c r="A38" s="532">
        <v>30</v>
      </c>
      <c r="B38" s="533" t="s">
        <v>854</v>
      </c>
      <c r="C38" s="325">
        <v>661</v>
      </c>
      <c r="D38" s="541">
        <v>201657</v>
      </c>
      <c r="E38" s="541">
        <v>1038261</v>
      </c>
      <c r="F38" s="542">
        <v>0</v>
      </c>
      <c r="G38" s="542">
        <v>0</v>
      </c>
      <c r="H38" s="1414"/>
      <c r="I38" s="541">
        <v>0</v>
      </c>
      <c r="J38" s="541"/>
      <c r="K38" s="534"/>
      <c r="L38" s="541"/>
    </row>
    <row r="39" spans="1:13" ht="14.25">
      <c r="A39" s="532">
        <v>31</v>
      </c>
      <c r="B39" s="533" t="s">
        <v>855</v>
      </c>
      <c r="C39" s="325">
        <v>594</v>
      </c>
      <c r="D39" s="541">
        <v>65957</v>
      </c>
      <c r="E39" s="541">
        <v>651351</v>
      </c>
      <c r="F39" s="542">
        <v>253</v>
      </c>
      <c r="G39" s="542">
        <v>114589</v>
      </c>
      <c r="H39" s="1414"/>
      <c r="I39" s="541">
        <v>25462</v>
      </c>
      <c r="J39" s="541"/>
      <c r="K39" s="534"/>
      <c r="L39" s="541"/>
    </row>
    <row r="40" spans="1:13" ht="14.25">
      <c r="A40" s="532">
        <v>32</v>
      </c>
      <c r="B40" s="533" t="s">
        <v>856</v>
      </c>
      <c r="C40" s="325">
        <v>1241</v>
      </c>
      <c r="D40" s="541">
        <v>93525</v>
      </c>
      <c r="E40" s="541">
        <v>1779282</v>
      </c>
      <c r="F40" s="542">
        <v>0</v>
      </c>
      <c r="G40" s="542">
        <v>0</v>
      </c>
      <c r="H40" s="1414"/>
      <c r="I40" s="541">
        <v>0</v>
      </c>
      <c r="J40" s="541"/>
      <c r="K40" s="534"/>
      <c r="L40" s="541"/>
    </row>
    <row r="41" spans="1:13" ht="14.25">
      <c r="A41" s="532">
        <v>33</v>
      </c>
      <c r="B41" s="533" t="s">
        <v>857</v>
      </c>
      <c r="C41" s="325">
        <v>595</v>
      </c>
      <c r="D41" s="541">
        <v>68746</v>
      </c>
      <c r="E41" s="541">
        <v>727255</v>
      </c>
      <c r="F41" s="542">
        <v>83</v>
      </c>
      <c r="G41" s="542">
        <v>396520</v>
      </c>
      <c r="H41" s="1415"/>
      <c r="I41" s="541">
        <v>0</v>
      </c>
      <c r="J41" s="541"/>
      <c r="K41" s="543"/>
      <c r="L41" s="541"/>
    </row>
    <row r="42" spans="1:13">
      <c r="A42" s="1416" t="s">
        <v>18</v>
      </c>
      <c r="B42" s="1417"/>
      <c r="C42" s="544">
        <v>34307</v>
      </c>
      <c r="D42" s="544">
        <v>7896628</v>
      </c>
      <c r="E42" s="544">
        <v>103462793</v>
      </c>
      <c r="F42" s="544">
        <v>4496</v>
      </c>
      <c r="G42" s="544">
        <v>1437594</v>
      </c>
      <c r="H42" s="545">
        <v>0</v>
      </c>
      <c r="I42" s="544">
        <v>4547424</v>
      </c>
      <c r="J42" s="544">
        <v>1885</v>
      </c>
      <c r="K42" s="544">
        <v>0</v>
      </c>
      <c r="L42" s="544">
        <v>288930</v>
      </c>
    </row>
    <row r="44" spans="1:13">
      <c r="A44" s="525"/>
      <c r="B44" s="525"/>
      <c r="C44" s="525"/>
      <c r="D44" s="525"/>
      <c r="E44" s="525"/>
      <c r="F44" s="525"/>
      <c r="G44" s="525"/>
      <c r="H44" s="525"/>
      <c r="I44" s="546"/>
      <c r="J44" s="525"/>
      <c r="K44" s="525"/>
      <c r="L44" s="525"/>
    </row>
    <row r="45" spans="1:13" s="994" customFormat="1" ht="15.75" customHeight="1">
      <c r="A45" s="15" t="s">
        <v>12</v>
      </c>
      <c r="B45" s="15"/>
      <c r="C45" s="15"/>
      <c r="H45" s="998"/>
      <c r="I45" s="998"/>
    </row>
    <row r="46" spans="1:13" s="994" customFormat="1" ht="15.6" customHeight="1">
      <c r="K46" s="1040" t="s">
        <v>1106</v>
      </c>
      <c r="L46" s="1040"/>
      <c r="M46" s="1040"/>
    </row>
    <row r="47" spans="1:13" s="994" customFormat="1" ht="15.6" customHeight="1">
      <c r="K47" s="1040" t="s">
        <v>481</v>
      </c>
      <c r="L47" s="1040"/>
      <c r="M47" s="1040"/>
    </row>
    <row r="48" spans="1:13" ht="18.75">
      <c r="A48" s="430"/>
      <c r="B48" s="430"/>
      <c r="C48" s="430"/>
      <c r="D48" s="430"/>
      <c r="E48" s="430"/>
      <c r="F48" s="430"/>
      <c r="G48" s="430"/>
      <c r="K48" s="1040" t="s">
        <v>1107</v>
      </c>
      <c r="L48" s="1040"/>
      <c r="M48" s="1040"/>
    </row>
  </sheetData>
  <mergeCells count="15">
    <mergeCell ref="K47:M47"/>
    <mergeCell ref="K48:M48"/>
    <mergeCell ref="J5:K5"/>
    <mergeCell ref="A1:K1"/>
    <mergeCell ref="C6:E6"/>
    <mergeCell ref="F6:I6"/>
    <mergeCell ref="J6:L6"/>
    <mergeCell ref="A6:A7"/>
    <mergeCell ref="B6:B7"/>
    <mergeCell ref="A2:K2"/>
    <mergeCell ref="A4:K4"/>
    <mergeCell ref="A5:B5"/>
    <mergeCell ref="H9:H41"/>
    <mergeCell ref="A42:B42"/>
    <mergeCell ref="K46:M46"/>
  </mergeCells>
  <printOptions horizontalCentered="1"/>
  <pageMargins left="0.70866141732283472" right="0.70866141732283472" top="0.63" bottom="0" header="0.79"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M49"/>
  <sheetViews>
    <sheetView topLeftCell="A40" zoomScaleSheetLayoutView="80" workbookViewId="0">
      <selection activeCell="E13" sqref="E13"/>
    </sheetView>
  </sheetViews>
  <sheetFormatPr defaultRowHeight="12.75"/>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c r="A1" s="1176" t="s">
        <v>0</v>
      </c>
      <c r="B1" s="1176"/>
      <c r="C1" s="1176"/>
      <c r="D1" s="1176"/>
      <c r="E1" s="1176"/>
      <c r="F1" s="1176"/>
      <c r="G1" s="1176"/>
      <c r="H1" s="1176"/>
      <c r="I1" s="243"/>
      <c r="J1" s="243"/>
      <c r="K1" s="211" t="s">
        <v>522</v>
      </c>
    </row>
    <row r="2" spans="1:11" ht="21">
      <c r="A2" s="1177" t="s">
        <v>636</v>
      </c>
      <c r="B2" s="1177"/>
      <c r="C2" s="1177"/>
      <c r="D2" s="1177"/>
      <c r="E2" s="1177"/>
      <c r="F2" s="1177"/>
      <c r="G2" s="1177"/>
      <c r="H2" s="1177"/>
      <c r="I2" s="175"/>
      <c r="J2" s="175"/>
    </row>
    <row r="3" spans="1:11" ht="15">
      <c r="A3" s="176"/>
      <c r="B3" s="176"/>
      <c r="C3" s="176"/>
      <c r="D3" s="176"/>
      <c r="E3" s="176"/>
      <c r="F3" s="176"/>
      <c r="G3" s="176"/>
      <c r="H3" s="176"/>
      <c r="I3" s="176"/>
      <c r="J3" s="176"/>
    </row>
    <row r="4" spans="1:11" ht="18">
      <c r="A4" s="1176" t="s">
        <v>521</v>
      </c>
      <c r="B4" s="1176"/>
      <c r="C4" s="1176"/>
      <c r="D4" s="1176"/>
      <c r="E4" s="1176"/>
      <c r="F4" s="1176"/>
      <c r="G4" s="1176"/>
      <c r="H4" s="1176"/>
      <c r="I4" s="243"/>
      <c r="J4" s="243"/>
    </row>
    <row r="5" spans="1:11" ht="15">
      <c r="A5" s="1419" t="s">
        <v>1047</v>
      </c>
      <c r="B5" s="1419"/>
      <c r="C5" s="177"/>
      <c r="D5" s="177"/>
      <c r="E5" s="177"/>
      <c r="F5" s="177"/>
      <c r="G5" s="1418" t="s">
        <v>792</v>
      </c>
      <c r="H5" s="1418"/>
      <c r="I5" s="1418"/>
      <c r="J5" s="177"/>
    </row>
    <row r="6" spans="1:11" ht="21.75" customHeight="1">
      <c r="A6" s="1313" t="s">
        <v>2</v>
      </c>
      <c r="B6" s="1313" t="s">
        <v>38</v>
      </c>
      <c r="C6" s="1090" t="s">
        <v>483</v>
      </c>
      <c r="D6" s="1100"/>
      <c r="E6" s="1091"/>
      <c r="F6" s="1090" t="s">
        <v>486</v>
      </c>
      <c r="G6" s="1100"/>
      <c r="H6" s="1091"/>
      <c r="I6" s="1181" t="s">
        <v>691</v>
      </c>
      <c r="J6" s="1181" t="s">
        <v>690</v>
      </c>
      <c r="K6" s="1181" t="s">
        <v>78</v>
      </c>
    </row>
    <row r="7" spans="1:11" ht="30" customHeight="1">
      <c r="A7" s="1314"/>
      <c r="B7" s="1314"/>
      <c r="C7" s="5" t="s">
        <v>482</v>
      </c>
      <c r="D7" s="5" t="s">
        <v>484</v>
      </c>
      <c r="E7" s="5" t="s">
        <v>485</v>
      </c>
      <c r="F7" s="5" t="s">
        <v>482</v>
      </c>
      <c r="G7" s="5" t="s">
        <v>484</v>
      </c>
      <c r="H7" s="5" t="s">
        <v>485</v>
      </c>
      <c r="I7" s="1182"/>
      <c r="J7" s="1182"/>
      <c r="K7" s="1182"/>
    </row>
    <row r="8" spans="1:11" ht="15">
      <c r="A8" s="237">
        <v>1</v>
      </c>
      <c r="B8" s="237">
        <v>2</v>
      </c>
      <c r="C8" s="237">
        <v>3</v>
      </c>
      <c r="D8" s="237">
        <v>4</v>
      </c>
      <c r="E8" s="237">
        <v>5</v>
      </c>
      <c r="F8" s="237">
        <v>6</v>
      </c>
      <c r="G8" s="237">
        <v>7</v>
      </c>
      <c r="H8" s="237">
        <v>8</v>
      </c>
      <c r="I8" s="237">
        <v>9</v>
      </c>
      <c r="J8" s="237">
        <v>10</v>
      </c>
      <c r="K8" s="237">
        <v>11</v>
      </c>
    </row>
    <row r="9" spans="1:11" ht="15">
      <c r="A9" s="236">
        <v>1</v>
      </c>
      <c r="B9" s="9" t="s">
        <v>825</v>
      </c>
      <c r="C9" s="5"/>
      <c r="D9" s="5"/>
      <c r="E9" s="5"/>
      <c r="F9" s="5"/>
      <c r="G9" s="5"/>
      <c r="H9" s="5"/>
      <c r="I9" s="5"/>
      <c r="J9" s="5"/>
      <c r="K9" s="179"/>
    </row>
    <row r="10" spans="1:11" ht="15">
      <c r="A10" s="236">
        <v>2</v>
      </c>
      <c r="B10" s="9" t="s">
        <v>826</v>
      </c>
      <c r="C10" s="5"/>
      <c r="D10" s="5"/>
      <c r="E10" s="5"/>
      <c r="F10" s="5"/>
      <c r="G10" s="5"/>
      <c r="H10" s="5"/>
      <c r="I10" s="5"/>
      <c r="J10" s="5"/>
      <c r="K10" s="179"/>
    </row>
    <row r="11" spans="1:11" ht="15">
      <c r="A11" s="236">
        <v>3</v>
      </c>
      <c r="B11" s="9" t="s">
        <v>827</v>
      </c>
      <c r="C11" s="5"/>
      <c r="D11" s="5"/>
      <c r="E11" s="5"/>
      <c r="F11" s="5"/>
      <c r="G11" s="5"/>
      <c r="H11" s="5"/>
      <c r="I11" s="5"/>
      <c r="J11" s="5"/>
      <c r="K11" s="179"/>
    </row>
    <row r="12" spans="1:11" ht="15">
      <c r="A12" s="236">
        <v>4</v>
      </c>
      <c r="B12" s="9" t="s">
        <v>828</v>
      </c>
      <c r="C12" s="5"/>
      <c r="D12" s="5"/>
      <c r="E12" s="5"/>
      <c r="F12" s="5"/>
      <c r="G12" s="5"/>
      <c r="H12" s="5"/>
      <c r="I12" s="5"/>
      <c r="J12" s="5"/>
      <c r="K12" s="179"/>
    </row>
    <row r="13" spans="1:11" ht="15">
      <c r="A13" s="236">
        <v>5</v>
      </c>
      <c r="B13" s="9" t="s">
        <v>829</v>
      </c>
      <c r="C13" s="5"/>
      <c r="D13" s="5"/>
      <c r="E13" s="5"/>
      <c r="F13" s="5"/>
      <c r="G13" s="5"/>
      <c r="H13" s="5"/>
      <c r="I13" s="5"/>
      <c r="J13" s="5"/>
      <c r="K13" s="179"/>
    </row>
    <row r="14" spans="1:11" ht="15">
      <c r="A14" s="236">
        <v>6</v>
      </c>
      <c r="B14" s="9" t="s">
        <v>830</v>
      </c>
      <c r="C14" s="5"/>
      <c r="D14" s="5"/>
      <c r="E14" s="5"/>
      <c r="F14" s="5"/>
      <c r="G14" s="5"/>
      <c r="H14" s="5"/>
      <c r="I14" s="5"/>
      <c r="J14" s="5"/>
      <c r="K14" s="179"/>
    </row>
    <row r="15" spans="1:11" ht="15" customHeight="1">
      <c r="A15" s="236">
        <v>7</v>
      </c>
      <c r="B15" s="9" t="s">
        <v>831</v>
      </c>
      <c r="C15" s="1308" t="s">
        <v>932</v>
      </c>
      <c r="D15" s="1308"/>
      <c r="E15" s="1308"/>
      <c r="F15" s="1308"/>
      <c r="G15" s="1308"/>
      <c r="H15" s="1308"/>
      <c r="I15" s="1308"/>
      <c r="J15" s="5"/>
      <c r="K15" s="179"/>
    </row>
    <row r="16" spans="1:11" ht="15" customHeight="1">
      <c r="A16" s="236">
        <v>8</v>
      </c>
      <c r="B16" s="9" t="s">
        <v>832</v>
      </c>
      <c r="C16" s="1308"/>
      <c r="D16" s="1308"/>
      <c r="E16" s="1308"/>
      <c r="F16" s="1308"/>
      <c r="G16" s="1308"/>
      <c r="H16" s="1308"/>
      <c r="I16" s="1308"/>
      <c r="J16" s="5"/>
      <c r="K16" s="179"/>
    </row>
    <row r="17" spans="1:13" ht="15" customHeight="1">
      <c r="A17" s="236">
        <v>9</v>
      </c>
      <c r="B17" s="9" t="s">
        <v>833</v>
      </c>
      <c r="C17" s="1308"/>
      <c r="D17" s="1308"/>
      <c r="E17" s="1308"/>
      <c r="F17" s="1308"/>
      <c r="G17" s="1308"/>
      <c r="H17" s="1308"/>
      <c r="I17" s="1308"/>
      <c r="J17" s="5"/>
      <c r="K17" s="179"/>
    </row>
    <row r="18" spans="1:13" ht="15" customHeight="1">
      <c r="A18" s="236">
        <v>10</v>
      </c>
      <c r="B18" s="9" t="s">
        <v>834</v>
      </c>
      <c r="C18" s="1308"/>
      <c r="D18" s="1308"/>
      <c r="E18" s="1308"/>
      <c r="F18" s="1308"/>
      <c r="G18" s="1308"/>
      <c r="H18" s="1308"/>
      <c r="I18" s="1308"/>
      <c r="J18" s="5"/>
      <c r="K18" s="179"/>
    </row>
    <row r="19" spans="1:13" ht="15" customHeight="1">
      <c r="A19" s="236">
        <v>11</v>
      </c>
      <c r="B19" s="9" t="s">
        <v>835</v>
      </c>
      <c r="C19" s="1308"/>
      <c r="D19" s="1308"/>
      <c r="E19" s="1308"/>
      <c r="F19" s="1308"/>
      <c r="G19" s="1308"/>
      <c r="H19" s="1308"/>
      <c r="I19" s="1308"/>
      <c r="J19" s="5"/>
      <c r="K19" s="179"/>
    </row>
    <row r="20" spans="1:13" ht="15" customHeight="1">
      <c r="A20" s="236">
        <v>12</v>
      </c>
      <c r="B20" s="9" t="s">
        <v>836</v>
      </c>
      <c r="C20" s="1308"/>
      <c r="D20" s="1308"/>
      <c r="E20" s="1308"/>
      <c r="F20" s="1308"/>
      <c r="G20" s="1308"/>
      <c r="H20" s="1308"/>
      <c r="I20" s="1308"/>
      <c r="J20" s="5"/>
      <c r="K20" s="179"/>
    </row>
    <row r="21" spans="1:13" ht="15" customHeight="1">
      <c r="A21" s="236">
        <v>13</v>
      </c>
      <c r="B21" s="9" t="s">
        <v>837</v>
      </c>
      <c r="C21" s="1308"/>
      <c r="D21" s="1308"/>
      <c r="E21" s="1308"/>
      <c r="F21" s="1308"/>
      <c r="G21" s="1308"/>
      <c r="H21" s="1308"/>
      <c r="I21" s="1308"/>
      <c r="J21" s="5"/>
      <c r="K21" s="179"/>
    </row>
    <row r="22" spans="1:13" ht="15" customHeight="1">
      <c r="A22" s="236">
        <v>14</v>
      </c>
      <c r="B22" s="9" t="s">
        <v>838</v>
      </c>
      <c r="C22" s="1308"/>
      <c r="D22" s="1308"/>
      <c r="E22" s="1308"/>
      <c r="F22" s="1308"/>
      <c r="G22" s="1308"/>
      <c r="H22" s="1308"/>
      <c r="I22" s="1308"/>
      <c r="J22" s="5"/>
      <c r="K22" s="179"/>
    </row>
    <row r="23" spans="1:13" ht="15" customHeight="1">
      <c r="A23" s="236">
        <v>15</v>
      </c>
      <c r="B23" s="9" t="s">
        <v>839</v>
      </c>
      <c r="C23" s="1308"/>
      <c r="D23" s="1308"/>
      <c r="E23" s="1308"/>
      <c r="F23" s="1308"/>
      <c r="G23" s="1308"/>
      <c r="H23" s="1308"/>
      <c r="I23" s="1308"/>
      <c r="J23" s="5"/>
      <c r="K23" s="179"/>
    </row>
    <row r="24" spans="1:13" ht="15" customHeight="1">
      <c r="A24" s="236">
        <v>16</v>
      </c>
      <c r="B24" s="9" t="s">
        <v>840</v>
      </c>
      <c r="C24" s="1308"/>
      <c r="D24" s="1308"/>
      <c r="E24" s="1308"/>
      <c r="F24" s="1308"/>
      <c r="G24" s="1308"/>
      <c r="H24" s="1308"/>
      <c r="I24" s="1308"/>
      <c r="J24" s="5"/>
      <c r="K24" s="179"/>
    </row>
    <row r="25" spans="1:13" ht="15" customHeight="1">
      <c r="A25" s="236">
        <v>17</v>
      </c>
      <c r="B25" s="9" t="s">
        <v>841</v>
      </c>
      <c r="C25" s="1308"/>
      <c r="D25" s="1308"/>
      <c r="E25" s="1308"/>
      <c r="F25" s="1308"/>
      <c r="G25" s="1308"/>
      <c r="H25" s="1308"/>
      <c r="I25" s="1308"/>
      <c r="J25" s="5"/>
      <c r="K25" s="179"/>
    </row>
    <row r="26" spans="1:13" ht="15" customHeight="1">
      <c r="A26" s="236">
        <v>18</v>
      </c>
      <c r="B26" s="9" t="s">
        <v>842</v>
      </c>
      <c r="C26" s="1308"/>
      <c r="D26" s="1308"/>
      <c r="E26" s="1308"/>
      <c r="F26" s="1308"/>
      <c r="G26" s="1308"/>
      <c r="H26" s="1308"/>
      <c r="I26" s="1308"/>
      <c r="J26" s="5"/>
      <c r="K26" s="179"/>
    </row>
    <row r="27" spans="1:13" ht="15" customHeight="1">
      <c r="A27" s="236">
        <v>19</v>
      </c>
      <c r="B27" s="9" t="s">
        <v>843</v>
      </c>
      <c r="C27" s="1308"/>
      <c r="D27" s="1308"/>
      <c r="E27" s="1308"/>
      <c r="F27" s="1308"/>
      <c r="G27" s="1308"/>
      <c r="H27" s="1308"/>
      <c r="I27" s="1308"/>
      <c r="J27" s="5"/>
      <c r="K27" s="179"/>
    </row>
    <row r="28" spans="1:13" ht="15" customHeight="1">
      <c r="A28" s="236">
        <v>20</v>
      </c>
      <c r="B28" s="9" t="s">
        <v>844</v>
      </c>
      <c r="C28" s="1308"/>
      <c r="D28" s="1308"/>
      <c r="E28" s="1308"/>
      <c r="F28" s="1308"/>
      <c r="G28" s="1308"/>
      <c r="H28" s="1308"/>
      <c r="I28" s="1308"/>
      <c r="J28" s="5"/>
      <c r="K28" s="179"/>
    </row>
    <row r="29" spans="1:13" ht="15" customHeight="1">
      <c r="A29" s="236">
        <v>21</v>
      </c>
      <c r="B29" s="9" t="s">
        <v>845</v>
      </c>
      <c r="C29" s="9"/>
      <c r="D29" s="9"/>
      <c r="E29" s="9"/>
      <c r="F29" s="9"/>
      <c r="G29" s="9"/>
      <c r="H29" s="9"/>
      <c r="I29" s="9"/>
      <c r="J29" s="9"/>
      <c r="K29" s="9"/>
      <c r="M29" t="s">
        <v>11</v>
      </c>
    </row>
    <row r="30" spans="1:13" ht="15" customHeight="1">
      <c r="A30" s="236">
        <v>22</v>
      </c>
      <c r="B30" s="9" t="s">
        <v>846</v>
      </c>
      <c r="C30" s="9"/>
      <c r="D30" s="9"/>
      <c r="E30" s="9"/>
      <c r="F30" s="9"/>
      <c r="G30" s="9"/>
      <c r="H30" s="9"/>
      <c r="I30" s="9"/>
      <c r="J30" s="9"/>
      <c r="K30" s="9"/>
    </row>
    <row r="31" spans="1:13" ht="15" customHeight="1">
      <c r="A31" s="236">
        <v>23</v>
      </c>
      <c r="B31" s="9" t="s">
        <v>847</v>
      </c>
      <c r="C31" s="9"/>
      <c r="D31" s="9"/>
      <c r="E31" s="9"/>
      <c r="F31" s="9"/>
      <c r="G31" s="9"/>
      <c r="H31" s="9"/>
      <c r="I31" s="9"/>
      <c r="J31" s="9"/>
      <c r="K31" s="9"/>
    </row>
    <row r="32" spans="1:13" ht="15" customHeight="1">
      <c r="A32" s="236">
        <v>24</v>
      </c>
      <c r="B32" s="9" t="s">
        <v>848</v>
      </c>
      <c r="C32" s="9"/>
      <c r="D32" s="9"/>
      <c r="E32" s="9"/>
      <c r="F32" s="9"/>
      <c r="G32" s="9"/>
      <c r="H32" s="9"/>
      <c r="I32" s="9"/>
      <c r="J32" s="9"/>
      <c r="K32" s="9"/>
    </row>
    <row r="33" spans="1:11" ht="15" customHeight="1">
      <c r="A33" s="236">
        <v>25</v>
      </c>
      <c r="B33" s="9" t="s">
        <v>849</v>
      </c>
      <c r="C33" s="9"/>
      <c r="D33" s="9"/>
      <c r="E33" s="9"/>
      <c r="F33" s="9"/>
      <c r="G33" s="9"/>
      <c r="H33" s="9"/>
      <c r="I33" s="9"/>
      <c r="J33" s="9"/>
      <c r="K33" s="20" t="s">
        <v>399</v>
      </c>
    </row>
    <row r="34" spans="1:11" ht="15" customHeight="1">
      <c r="A34" s="236">
        <v>26</v>
      </c>
      <c r="B34" s="9" t="s">
        <v>850</v>
      </c>
      <c r="C34" s="9"/>
      <c r="D34" s="9"/>
      <c r="E34" s="9"/>
      <c r="F34" s="9"/>
      <c r="G34" s="9"/>
      <c r="H34" s="9"/>
      <c r="I34" s="9"/>
      <c r="J34" s="9"/>
      <c r="K34" s="20"/>
    </row>
    <row r="35" spans="1:11" ht="15" customHeight="1">
      <c r="A35" s="236">
        <v>27</v>
      </c>
      <c r="B35" s="9" t="s">
        <v>851</v>
      </c>
      <c r="C35" s="9"/>
      <c r="D35" s="9"/>
      <c r="E35" s="9"/>
      <c r="F35" s="9"/>
      <c r="G35" s="9"/>
      <c r="H35" s="9"/>
      <c r="I35" s="9"/>
      <c r="J35" s="9"/>
      <c r="K35" s="20"/>
    </row>
    <row r="36" spans="1:11" ht="15" customHeight="1">
      <c r="A36" s="236">
        <v>28</v>
      </c>
      <c r="B36" s="9" t="s">
        <v>852</v>
      </c>
      <c r="C36" s="9"/>
      <c r="D36" s="9"/>
      <c r="E36" s="9"/>
      <c r="F36" s="9"/>
      <c r="G36" s="9"/>
      <c r="H36" s="9"/>
      <c r="I36" s="9"/>
      <c r="J36" s="9"/>
      <c r="K36" s="20"/>
    </row>
    <row r="37" spans="1:11" ht="15" customHeight="1">
      <c r="A37" s="236">
        <v>29</v>
      </c>
      <c r="B37" s="9" t="s">
        <v>853</v>
      </c>
      <c r="C37" s="9"/>
      <c r="D37" s="9"/>
      <c r="E37" s="9"/>
      <c r="F37" s="9"/>
      <c r="G37" s="9"/>
      <c r="H37" s="9"/>
      <c r="I37" s="9"/>
      <c r="J37" s="9"/>
      <c r="K37" s="20"/>
    </row>
    <row r="38" spans="1:11" ht="15" customHeight="1">
      <c r="A38" s="236">
        <v>30</v>
      </c>
      <c r="B38" s="9" t="s">
        <v>854</v>
      </c>
      <c r="C38" s="9"/>
      <c r="D38" s="9"/>
      <c r="E38" s="9"/>
      <c r="F38" s="9"/>
      <c r="G38" s="9"/>
      <c r="H38" s="9"/>
      <c r="I38" s="9"/>
      <c r="J38" s="9"/>
      <c r="K38" s="9"/>
    </row>
    <row r="39" spans="1:11" ht="12.75" customHeight="1">
      <c r="A39" s="236">
        <v>31</v>
      </c>
      <c r="B39" s="9" t="s">
        <v>855</v>
      </c>
      <c r="C39" s="9"/>
      <c r="D39" s="9"/>
      <c r="E39" s="9"/>
      <c r="F39" s="9"/>
      <c r="G39" s="9"/>
      <c r="H39" s="9"/>
      <c r="I39" s="9"/>
      <c r="J39" s="9"/>
      <c r="K39" s="9"/>
    </row>
    <row r="40" spans="1:11" ht="12.75" customHeight="1">
      <c r="A40" s="236">
        <v>32</v>
      </c>
      <c r="B40" s="9" t="s">
        <v>856</v>
      </c>
      <c r="C40" s="9"/>
      <c r="D40" s="9"/>
      <c r="E40" s="9"/>
      <c r="F40" s="9"/>
      <c r="G40" s="9"/>
      <c r="H40" s="9"/>
      <c r="I40" s="9"/>
      <c r="J40" s="9"/>
      <c r="K40" s="9"/>
    </row>
    <row r="41" spans="1:11" ht="12.75" customHeight="1">
      <c r="A41" s="236">
        <v>33</v>
      </c>
      <c r="B41" s="9" t="s">
        <v>857</v>
      </c>
      <c r="C41" s="9"/>
      <c r="D41" s="9"/>
      <c r="E41" s="9"/>
      <c r="F41" s="9"/>
      <c r="G41" s="9"/>
      <c r="H41" s="9"/>
      <c r="I41" s="9"/>
      <c r="J41" s="9"/>
      <c r="K41" s="9"/>
    </row>
    <row r="42" spans="1:11" ht="12.75" customHeight="1">
      <c r="A42" s="29" t="s">
        <v>18</v>
      </c>
      <c r="B42" s="9"/>
      <c r="C42" s="9"/>
      <c r="D42" s="9"/>
      <c r="E42" s="9"/>
      <c r="F42" s="9"/>
      <c r="G42" s="9"/>
      <c r="H42" s="9"/>
      <c r="I42" s="9"/>
      <c r="J42" s="9"/>
      <c r="K42" s="9"/>
    </row>
    <row r="45" spans="1:11" s="994" customFormat="1" ht="15.75" customHeight="1">
      <c r="A45" s="15" t="s">
        <v>12</v>
      </c>
      <c r="B45" s="15"/>
      <c r="C45" s="15"/>
      <c r="H45" s="998"/>
      <c r="I45" s="998"/>
    </row>
    <row r="46" spans="1:11" s="994" customFormat="1" ht="15.6" customHeight="1">
      <c r="I46" s="1040" t="s">
        <v>1106</v>
      </c>
      <c r="J46" s="1040"/>
      <c r="K46" s="998"/>
    </row>
    <row r="47" spans="1:11" s="994" customFormat="1" ht="15.6" customHeight="1">
      <c r="I47" s="1040" t="s">
        <v>481</v>
      </c>
      <c r="J47" s="1040"/>
      <c r="K47" s="998"/>
    </row>
    <row r="48" spans="1:11" ht="18" customHeight="1">
      <c r="A48" s="430"/>
      <c r="B48" s="430"/>
      <c r="C48" s="430"/>
      <c r="D48" s="430"/>
      <c r="E48" s="430"/>
      <c r="F48" s="430"/>
      <c r="G48" s="430"/>
      <c r="I48" s="1040" t="s">
        <v>1107</v>
      </c>
      <c r="J48" s="1040"/>
      <c r="K48" s="998"/>
    </row>
    <row r="49" spans="8:10">
      <c r="H49" s="182"/>
      <c r="I49" s="182"/>
      <c r="J49" s="182"/>
    </row>
  </sheetData>
  <mergeCells count="16">
    <mergeCell ref="A1:H1"/>
    <mergeCell ref="A2:H2"/>
    <mergeCell ref="A4:H4"/>
    <mergeCell ref="K6:K7"/>
    <mergeCell ref="I6:I7"/>
    <mergeCell ref="J6:J7"/>
    <mergeCell ref="A5:B5"/>
    <mergeCell ref="A6:A7"/>
    <mergeCell ref="B6:B7"/>
    <mergeCell ref="C6:E6"/>
    <mergeCell ref="F6:H6"/>
    <mergeCell ref="I46:J46"/>
    <mergeCell ref="I47:J47"/>
    <mergeCell ref="I48:J48"/>
    <mergeCell ref="C15:I28"/>
    <mergeCell ref="G5:I5"/>
  </mergeCells>
  <printOptions horizontalCentered="1"/>
  <pageMargins left="0.70866141732283472" right="0.70866141732283472" top="0.63" bottom="0" header="0.79" footer="0.31496062992125984"/>
  <pageSetup paperSize="9" scale="94"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L56"/>
  <sheetViews>
    <sheetView topLeftCell="A40" zoomScale="85" zoomScaleNormal="85" zoomScaleSheetLayoutView="73" workbookViewId="0">
      <selection activeCell="E13" sqref="E13"/>
    </sheetView>
  </sheetViews>
  <sheetFormatPr defaultRowHeight="12.75"/>
  <cols>
    <col min="1" max="1" width="7.42578125" style="140" customWidth="1"/>
    <col min="2" max="2" width="14" customWidth="1"/>
    <col min="3" max="4" width="12.7109375" customWidth="1"/>
    <col min="5" max="5" width="14.42578125" customWidth="1"/>
    <col min="6" max="6" width="17" customWidth="1"/>
    <col min="7" max="7" width="14.28515625" customWidth="1"/>
    <col min="8" max="8" width="23.7109375" customWidth="1"/>
    <col min="9" max="9" width="15.140625" customWidth="1"/>
    <col min="10" max="10" width="17" customWidth="1"/>
    <col min="11" max="11" width="14" customWidth="1"/>
    <col min="12" max="12" width="19.28515625" customWidth="1"/>
  </cols>
  <sheetData>
    <row r="1" spans="1:12">
      <c r="A1" s="1420" t="s">
        <v>86</v>
      </c>
      <c r="B1" s="1421"/>
      <c r="C1" s="1421"/>
      <c r="D1" s="1421"/>
      <c r="E1" s="1421"/>
      <c r="F1" s="1421"/>
      <c r="G1" s="1421"/>
      <c r="H1" s="1421"/>
      <c r="I1" s="1421"/>
      <c r="J1" s="1421"/>
      <c r="K1" s="1421"/>
      <c r="L1" s="1421"/>
    </row>
    <row r="2" spans="1:12">
      <c r="A2" s="1421"/>
      <c r="B2" s="1421"/>
      <c r="C2" s="1421"/>
      <c r="D2" s="1421"/>
      <c r="E2" s="1421"/>
      <c r="F2" s="1421"/>
      <c r="G2" s="1421"/>
      <c r="H2" s="1421"/>
      <c r="I2" s="1421"/>
      <c r="J2" s="1421"/>
      <c r="K2" s="1421"/>
      <c r="L2" s="1421"/>
    </row>
    <row r="3" spans="1:12" ht="27.75" customHeight="1">
      <c r="A3" s="1422" t="s">
        <v>858</v>
      </c>
      <c r="B3" s="1423"/>
      <c r="C3" s="1423"/>
      <c r="D3" s="1423"/>
      <c r="E3" s="1423"/>
      <c r="F3" s="1423"/>
      <c r="G3" s="1423"/>
      <c r="H3" s="1423"/>
      <c r="I3" s="1423"/>
      <c r="J3" s="1423"/>
      <c r="K3" s="1423"/>
      <c r="L3" s="1423"/>
    </row>
    <row r="4" spans="1:12" ht="26.25" customHeight="1">
      <c r="A4" s="1426" t="s">
        <v>636</v>
      </c>
      <c r="B4" s="1426"/>
      <c r="C4" s="1426"/>
      <c r="D4" s="1426"/>
      <c r="E4" s="1426"/>
      <c r="F4" s="1426"/>
      <c r="G4" s="1426"/>
      <c r="H4" s="1426"/>
      <c r="I4" s="1426"/>
      <c r="J4" s="1426"/>
      <c r="K4" s="1426"/>
      <c r="L4" s="1426"/>
    </row>
    <row r="5" spans="1:12" ht="28.5" customHeight="1">
      <c r="A5" s="1430" t="s">
        <v>667</v>
      </c>
      <c r="B5" s="1430"/>
      <c r="C5" s="1430"/>
      <c r="D5" s="1430"/>
      <c r="E5" s="1430"/>
      <c r="F5" s="1430"/>
      <c r="G5" s="1430"/>
      <c r="H5" s="1430"/>
      <c r="I5" s="1430"/>
      <c r="J5" s="1430"/>
      <c r="K5" s="1430"/>
      <c r="L5" s="1430"/>
    </row>
    <row r="6" spans="1:12" ht="18.75">
      <c r="A6" s="1427" t="s">
        <v>859</v>
      </c>
      <c r="B6" s="1427"/>
      <c r="C6" s="1427"/>
      <c r="D6" s="1427"/>
      <c r="E6" s="1427"/>
      <c r="F6" s="1427"/>
      <c r="G6" s="1427"/>
      <c r="H6" s="1427"/>
      <c r="I6" s="1427"/>
      <c r="J6" s="1427"/>
      <c r="K6" s="1427"/>
      <c r="L6" s="1427"/>
    </row>
    <row r="7" spans="1:12" ht="15.75">
      <c r="A7" s="1428" t="s">
        <v>223</v>
      </c>
      <c r="B7" s="1429" t="s">
        <v>222</v>
      </c>
      <c r="C7" s="1429" t="s">
        <v>490</v>
      </c>
      <c r="D7" s="1429" t="s">
        <v>491</v>
      </c>
      <c r="E7" s="275" t="s">
        <v>492</v>
      </c>
      <c r="F7" s="275"/>
      <c r="G7" s="275" t="s">
        <v>448</v>
      </c>
      <c r="H7" s="275"/>
      <c r="I7" s="275" t="s">
        <v>233</v>
      </c>
      <c r="J7" s="275"/>
      <c r="K7" s="276" t="s">
        <v>234</v>
      </c>
      <c r="L7" s="276"/>
    </row>
    <row r="8" spans="1:12" s="279" customFormat="1" ht="31.5">
      <c r="A8" s="1428"/>
      <c r="B8" s="1429"/>
      <c r="C8" s="1429"/>
      <c r="D8" s="1429"/>
      <c r="E8" s="277" t="s">
        <v>221</v>
      </c>
      <c r="F8" s="278" t="s">
        <v>202</v>
      </c>
      <c r="G8" s="278" t="s">
        <v>221</v>
      </c>
      <c r="H8" s="278" t="s">
        <v>202</v>
      </c>
      <c r="I8" s="278" t="s">
        <v>221</v>
      </c>
      <c r="J8" s="278" t="s">
        <v>202</v>
      </c>
      <c r="K8" s="278" t="s">
        <v>221</v>
      </c>
      <c r="L8" s="278" t="s">
        <v>202</v>
      </c>
    </row>
    <row r="9" spans="1:12" ht="15.75">
      <c r="A9" s="259">
        <v>1</v>
      </c>
      <c r="B9" s="259">
        <v>2</v>
      </c>
      <c r="C9" s="259">
        <v>3</v>
      </c>
      <c r="D9" s="259">
        <v>4</v>
      </c>
      <c r="E9" s="259">
        <v>5</v>
      </c>
      <c r="F9" s="259">
        <v>6</v>
      </c>
      <c r="G9" s="259">
        <v>7</v>
      </c>
      <c r="H9" s="259"/>
      <c r="I9" s="259">
        <v>9</v>
      </c>
      <c r="J9" s="259">
        <v>10</v>
      </c>
      <c r="K9" s="259">
        <v>11</v>
      </c>
      <c r="L9" s="259">
        <v>12</v>
      </c>
    </row>
    <row r="10" spans="1:12" ht="27.75" customHeight="1">
      <c r="A10" s="259">
        <v>1</v>
      </c>
      <c r="B10" s="258" t="s">
        <v>825</v>
      </c>
      <c r="C10" s="259">
        <v>1295</v>
      </c>
      <c r="D10" s="259">
        <v>380080</v>
      </c>
      <c r="E10" s="259">
        <v>1295</v>
      </c>
      <c r="F10" s="264">
        <f>D10*98%</f>
        <v>372478.39999999997</v>
      </c>
      <c r="G10" s="259">
        <v>1295</v>
      </c>
      <c r="H10" s="264">
        <f>D10*98.2%</f>
        <v>373238.56</v>
      </c>
      <c r="I10" s="259">
        <v>1295</v>
      </c>
      <c r="J10" s="264">
        <f>D10*97.25%</f>
        <v>369627.8</v>
      </c>
      <c r="K10" s="259">
        <v>1295</v>
      </c>
      <c r="L10" s="264">
        <f>D10*94%</f>
        <v>357275.19999999995</v>
      </c>
    </row>
    <row r="11" spans="1:12" ht="15.75">
      <c r="A11" s="259">
        <v>2</v>
      </c>
      <c r="B11" s="258" t="s">
        <v>826</v>
      </c>
      <c r="C11" s="259">
        <v>811</v>
      </c>
      <c r="D11" s="259">
        <v>143536</v>
      </c>
      <c r="E11" s="259">
        <v>811</v>
      </c>
      <c r="F11" s="264">
        <f t="shared" ref="F11:F43" si="0">D11*98%</f>
        <v>140665.28</v>
      </c>
      <c r="G11" s="259">
        <v>811</v>
      </c>
      <c r="H11" s="264">
        <f t="shared" ref="H11:H43" si="1">D11*98.2%</f>
        <v>140952.35199999998</v>
      </c>
      <c r="I11" s="259">
        <v>811</v>
      </c>
      <c r="J11" s="264">
        <f t="shared" ref="J11:J43" si="2">D11*97.25%</f>
        <v>139588.76</v>
      </c>
      <c r="K11" s="259">
        <v>811</v>
      </c>
      <c r="L11" s="264">
        <f t="shared" ref="L11:L43" si="3">D11*94%</f>
        <v>134923.84</v>
      </c>
    </row>
    <row r="12" spans="1:12" s="15" customFormat="1" ht="15.75">
      <c r="A12" s="259">
        <v>3</v>
      </c>
      <c r="B12" s="258" t="s">
        <v>827</v>
      </c>
      <c r="C12" s="259">
        <v>1449</v>
      </c>
      <c r="D12" s="259">
        <v>226722</v>
      </c>
      <c r="E12" s="259">
        <v>1449</v>
      </c>
      <c r="F12" s="264">
        <f t="shared" si="0"/>
        <v>222187.56</v>
      </c>
      <c r="G12" s="259">
        <v>1449</v>
      </c>
      <c r="H12" s="264">
        <f t="shared" si="1"/>
        <v>222641.00399999999</v>
      </c>
      <c r="I12" s="259">
        <v>1449</v>
      </c>
      <c r="J12" s="264">
        <f t="shared" si="2"/>
        <v>220487.14500000002</v>
      </c>
      <c r="K12" s="259">
        <v>1449</v>
      </c>
      <c r="L12" s="264">
        <f t="shared" si="3"/>
        <v>213118.68</v>
      </c>
    </row>
    <row r="13" spans="1:12" ht="15.75">
      <c r="A13" s="259">
        <v>4</v>
      </c>
      <c r="B13" s="258" t="s">
        <v>828</v>
      </c>
      <c r="C13" s="259">
        <v>1101</v>
      </c>
      <c r="D13" s="259">
        <v>212288</v>
      </c>
      <c r="E13" s="259">
        <v>1101</v>
      </c>
      <c r="F13" s="264">
        <f t="shared" si="0"/>
        <v>208042.23999999999</v>
      </c>
      <c r="G13" s="259">
        <v>1101</v>
      </c>
      <c r="H13" s="264">
        <f t="shared" si="1"/>
        <v>208466.81599999999</v>
      </c>
      <c r="I13" s="259">
        <v>1101</v>
      </c>
      <c r="J13" s="264">
        <f t="shared" si="2"/>
        <v>206450.08000000002</v>
      </c>
      <c r="K13" s="259">
        <v>1101</v>
      </c>
      <c r="L13" s="264">
        <f t="shared" si="3"/>
        <v>199550.72</v>
      </c>
    </row>
    <row r="14" spans="1:12" ht="15.75">
      <c r="A14" s="259">
        <v>5</v>
      </c>
      <c r="B14" s="258" t="s">
        <v>829</v>
      </c>
      <c r="C14" s="259">
        <v>2551</v>
      </c>
      <c r="D14" s="259">
        <v>530757</v>
      </c>
      <c r="E14" s="259">
        <v>2551</v>
      </c>
      <c r="F14" s="264">
        <f t="shared" si="0"/>
        <v>520141.86</v>
      </c>
      <c r="G14" s="259">
        <v>2551</v>
      </c>
      <c r="H14" s="264">
        <f t="shared" si="1"/>
        <v>521203.37400000001</v>
      </c>
      <c r="I14" s="259">
        <v>2551</v>
      </c>
      <c r="J14" s="264">
        <f t="shared" si="2"/>
        <v>516161.1825</v>
      </c>
      <c r="K14" s="259">
        <v>2551</v>
      </c>
      <c r="L14" s="264">
        <f t="shared" si="3"/>
        <v>498911.57999999996</v>
      </c>
    </row>
    <row r="15" spans="1:12" ht="15.75">
      <c r="A15" s="259">
        <v>6</v>
      </c>
      <c r="B15" s="258" t="s">
        <v>830</v>
      </c>
      <c r="C15" s="259">
        <v>990</v>
      </c>
      <c r="D15" s="259">
        <v>103849</v>
      </c>
      <c r="E15" s="259">
        <v>990</v>
      </c>
      <c r="F15" s="264">
        <f t="shared" si="0"/>
        <v>101772.02</v>
      </c>
      <c r="G15" s="259">
        <v>990</v>
      </c>
      <c r="H15" s="264">
        <f t="shared" si="1"/>
        <v>101979.71799999999</v>
      </c>
      <c r="I15" s="259">
        <v>990</v>
      </c>
      <c r="J15" s="264">
        <f t="shared" si="2"/>
        <v>100993.1525</v>
      </c>
      <c r="K15" s="259">
        <v>990</v>
      </c>
      <c r="L15" s="264">
        <f t="shared" si="3"/>
        <v>97618.06</v>
      </c>
    </row>
    <row r="16" spans="1:12" ht="15.75">
      <c r="A16" s="259">
        <v>7</v>
      </c>
      <c r="B16" s="258" t="s">
        <v>831</v>
      </c>
      <c r="C16" s="259">
        <v>700</v>
      </c>
      <c r="D16" s="259">
        <v>89566</v>
      </c>
      <c r="E16" s="259">
        <v>700</v>
      </c>
      <c r="F16" s="264">
        <f t="shared" si="0"/>
        <v>87774.68</v>
      </c>
      <c r="G16" s="259">
        <v>700</v>
      </c>
      <c r="H16" s="264">
        <f t="shared" si="1"/>
        <v>87953.812000000005</v>
      </c>
      <c r="I16" s="259">
        <v>700</v>
      </c>
      <c r="J16" s="264">
        <f t="shared" si="2"/>
        <v>87102.934999999998</v>
      </c>
      <c r="K16" s="259">
        <v>700</v>
      </c>
      <c r="L16" s="264">
        <f t="shared" si="3"/>
        <v>84192.04</v>
      </c>
    </row>
    <row r="17" spans="1:12" ht="15.75">
      <c r="A17" s="259">
        <v>8</v>
      </c>
      <c r="B17" s="258" t="s">
        <v>832</v>
      </c>
      <c r="C17" s="259">
        <v>1051</v>
      </c>
      <c r="D17" s="259">
        <v>271179</v>
      </c>
      <c r="E17" s="259">
        <v>1051</v>
      </c>
      <c r="F17" s="264">
        <f t="shared" si="0"/>
        <v>265755.42</v>
      </c>
      <c r="G17" s="259">
        <v>1051</v>
      </c>
      <c r="H17" s="264">
        <f t="shared" si="1"/>
        <v>266297.77799999999</v>
      </c>
      <c r="I17" s="259">
        <v>1051</v>
      </c>
      <c r="J17" s="264">
        <f t="shared" si="2"/>
        <v>263721.57750000001</v>
      </c>
      <c r="K17" s="259">
        <v>1051</v>
      </c>
      <c r="L17" s="264">
        <f t="shared" si="3"/>
        <v>254908.25999999998</v>
      </c>
    </row>
    <row r="18" spans="1:12" ht="15.75">
      <c r="A18" s="259">
        <v>9</v>
      </c>
      <c r="B18" s="258" t="s">
        <v>833</v>
      </c>
      <c r="C18" s="259">
        <v>1791</v>
      </c>
      <c r="D18" s="259">
        <v>307499</v>
      </c>
      <c r="E18" s="259">
        <v>1791</v>
      </c>
      <c r="F18" s="264">
        <f t="shared" si="0"/>
        <v>301349.02</v>
      </c>
      <c r="G18" s="259">
        <v>1791</v>
      </c>
      <c r="H18" s="264">
        <f t="shared" si="1"/>
        <v>301964.01799999998</v>
      </c>
      <c r="I18" s="259">
        <v>1791</v>
      </c>
      <c r="J18" s="264">
        <f t="shared" si="2"/>
        <v>299042.77750000003</v>
      </c>
      <c r="K18" s="259">
        <v>1791</v>
      </c>
      <c r="L18" s="264">
        <f t="shared" si="3"/>
        <v>289049.06</v>
      </c>
    </row>
    <row r="19" spans="1:12" ht="15.75">
      <c r="A19" s="259">
        <v>10</v>
      </c>
      <c r="B19" s="258" t="s">
        <v>834</v>
      </c>
      <c r="C19" s="259">
        <v>432</v>
      </c>
      <c r="D19" s="259">
        <v>47639</v>
      </c>
      <c r="E19" s="259">
        <v>432</v>
      </c>
      <c r="F19" s="264">
        <f t="shared" si="0"/>
        <v>46686.22</v>
      </c>
      <c r="G19" s="259">
        <v>432</v>
      </c>
      <c r="H19" s="264">
        <f t="shared" si="1"/>
        <v>46781.498</v>
      </c>
      <c r="I19" s="259">
        <v>432</v>
      </c>
      <c r="J19" s="264">
        <f t="shared" si="2"/>
        <v>46328.927499999998</v>
      </c>
      <c r="K19" s="259">
        <v>432</v>
      </c>
      <c r="L19" s="264">
        <f t="shared" si="3"/>
        <v>44780.659999999996</v>
      </c>
    </row>
    <row r="20" spans="1:12" ht="15.75">
      <c r="A20" s="259">
        <v>11</v>
      </c>
      <c r="B20" s="258" t="s">
        <v>835</v>
      </c>
      <c r="C20" s="259">
        <v>629</v>
      </c>
      <c r="D20" s="259">
        <v>120517</v>
      </c>
      <c r="E20" s="259">
        <v>629</v>
      </c>
      <c r="F20" s="264">
        <f t="shared" si="0"/>
        <v>118106.66</v>
      </c>
      <c r="G20" s="259">
        <v>629</v>
      </c>
      <c r="H20" s="264">
        <f t="shared" si="1"/>
        <v>118347.694</v>
      </c>
      <c r="I20" s="259">
        <v>629</v>
      </c>
      <c r="J20" s="264">
        <f t="shared" si="2"/>
        <v>117202.7825</v>
      </c>
      <c r="K20" s="259">
        <v>629</v>
      </c>
      <c r="L20" s="264">
        <f t="shared" si="3"/>
        <v>113285.98</v>
      </c>
    </row>
    <row r="21" spans="1:12" ht="15.75">
      <c r="A21" s="259">
        <v>12</v>
      </c>
      <c r="B21" s="258" t="s">
        <v>836</v>
      </c>
      <c r="C21" s="259">
        <v>1459</v>
      </c>
      <c r="D21" s="259">
        <v>213886</v>
      </c>
      <c r="E21" s="259">
        <v>1459</v>
      </c>
      <c r="F21" s="264">
        <f t="shared" si="0"/>
        <v>209608.28</v>
      </c>
      <c r="G21" s="259">
        <v>1459</v>
      </c>
      <c r="H21" s="264">
        <f t="shared" si="1"/>
        <v>210036.052</v>
      </c>
      <c r="I21" s="259">
        <v>1459</v>
      </c>
      <c r="J21" s="264">
        <f t="shared" si="2"/>
        <v>208004.13500000001</v>
      </c>
      <c r="K21" s="259">
        <v>1459</v>
      </c>
      <c r="L21" s="264">
        <f t="shared" si="3"/>
        <v>201052.84</v>
      </c>
    </row>
    <row r="22" spans="1:12" ht="15.75">
      <c r="A22" s="259">
        <v>13</v>
      </c>
      <c r="B22" s="258" t="s">
        <v>837</v>
      </c>
      <c r="C22" s="259">
        <v>1734</v>
      </c>
      <c r="D22" s="259">
        <v>373404</v>
      </c>
      <c r="E22" s="259">
        <v>1734</v>
      </c>
      <c r="F22" s="264">
        <f t="shared" si="0"/>
        <v>365935.92</v>
      </c>
      <c r="G22" s="259">
        <v>1734</v>
      </c>
      <c r="H22" s="264">
        <f t="shared" si="1"/>
        <v>366682.728</v>
      </c>
      <c r="I22" s="259">
        <v>1734</v>
      </c>
      <c r="J22" s="264">
        <f t="shared" si="2"/>
        <v>363135.39</v>
      </c>
      <c r="K22" s="259">
        <v>1734</v>
      </c>
      <c r="L22" s="264">
        <f t="shared" si="3"/>
        <v>350999.75999999995</v>
      </c>
    </row>
    <row r="23" spans="1:12" ht="15.75">
      <c r="A23" s="259">
        <v>14</v>
      </c>
      <c r="B23" s="258" t="s">
        <v>838</v>
      </c>
      <c r="C23" s="259">
        <v>794</v>
      </c>
      <c r="D23" s="259">
        <v>93553</v>
      </c>
      <c r="E23" s="259">
        <v>794</v>
      </c>
      <c r="F23" s="264">
        <f t="shared" si="0"/>
        <v>91681.94</v>
      </c>
      <c r="G23" s="259">
        <v>794</v>
      </c>
      <c r="H23" s="264">
        <f t="shared" si="1"/>
        <v>91869.046000000002</v>
      </c>
      <c r="I23" s="259">
        <v>794</v>
      </c>
      <c r="J23" s="264">
        <f t="shared" si="2"/>
        <v>90980.292499999996</v>
      </c>
      <c r="K23" s="259">
        <v>794</v>
      </c>
      <c r="L23" s="264">
        <f t="shared" si="3"/>
        <v>87939.819999999992</v>
      </c>
    </row>
    <row r="24" spans="1:12" ht="15.75">
      <c r="A24" s="259">
        <v>15</v>
      </c>
      <c r="B24" s="258" t="s">
        <v>839</v>
      </c>
      <c r="C24" s="259">
        <v>824</v>
      </c>
      <c r="D24" s="259">
        <v>103303</v>
      </c>
      <c r="E24" s="259">
        <v>824</v>
      </c>
      <c r="F24" s="264">
        <f t="shared" si="0"/>
        <v>101236.94</v>
      </c>
      <c r="G24" s="259">
        <v>824</v>
      </c>
      <c r="H24" s="264">
        <f t="shared" si="1"/>
        <v>101443.546</v>
      </c>
      <c r="I24" s="259">
        <v>824</v>
      </c>
      <c r="J24" s="264">
        <f t="shared" si="2"/>
        <v>100462.16750000001</v>
      </c>
      <c r="K24" s="259">
        <v>824</v>
      </c>
      <c r="L24" s="264">
        <f t="shared" si="3"/>
        <v>97104.819999999992</v>
      </c>
    </row>
    <row r="25" spans="1:12" ht="15.75">
      <c r="A25" s="259">
        <v>16</v>
      </c>
      <c r="B25" s="258" t="s">
        <v>840</v>
      </c>
      <c r="C25" s="259">
        <v>335</v>
      </c>
      <c r="D25" s="259">
        <v>52407</v>
      </c>
      <c r="E25" s="259">
        <v>335</v>
      </c>
      <c r="F25" s="264">
        <f t="shared" si="0"/>
        <v>51358.86</v>
      </c>
      <c r="G25" s="259">
        <v>335</v>
      </c>
      <c r="H25" s="264">
        <f t="shared" si="1"/>
        <v>51463.673999999999</v>
      </c>
      <c r="I25" s="259">
        <v>335</v>
      </c>
      <c r="J25" s="264">
        <f t="shared" si="2"/>
        <v>50965.807500000003</v>
      </c>
      <c r="K25" s="259">
        <v>335</v>
      </c>
      <c r="L25" s="264">
        <f t="shared" si="3"/>
        <v>49262.579999999994</v>
      </c>
    </row>
    <row r="26" spans="1:12" ht="15.75">
      <c r="A26" s="259">
        <v>17</v>
      </c>
      <c r="B26" s="258" t="s">
        <v>841</v>
      </c>
      <c r="C26" s="259">
        <v>1102</v>
      </c>
      <c r="D26" s="259">
        <v>282018</v>
      </c>
      <c r="E26" s="259">
        <v>1102</v>
      </c>
      <c r="F26" s="264">
        <f t="shared" si="0"/>
        <v>276377.64</v>
      </c>
      <c r="G26" s="259">
        <v>1102</v>
      </c>
      <c r="H26" s="264">
        <f t="shared" si="1"/>
        <v>276941.67599999998</v>
      </c>
      <c r="I26" s="259">
        <v>1102</v>
      </c>
      <c r="J26" s="264">
        <f t="shared" si="2"/>
        <v>274262.505</v>
      </c>
      <c r="K26" s="259">
        <v>1102</v>
      </c>
      <c r="L26" s="264">
        <f t="shared" si="3"/>
        <v>265096.92</v>
      </c>
    </row>
    <row r="27" spans="1:12" ht="15.75">
      <c r="A27" s="259">
        <v>18</v>
      </c>
      <c r="B27" s="258" t="s">
        <v>842</v>
      </c>
      <c r="C27" s="259">
        <v>855</v>
      </c>
      <c r="D27" s="259">
        <v>172059</v>
      </c>
      <c r="E27" s="259">
        <v>855</v>
      </c>
      <c r="F27" s="264">
        <f t="shared" si="0"/>
        <v>168617.82</v>
      </c>
      <c r="G27" s="259">
        <v>855</v>
      </c>
      <c r="H27" s="264">
        <f t="shared" si="1"/>
        <v>168961.93799999999</v>
      </c>
      <c r="I27" s="259">
        <v>855</v>
      </c>
      <c r="J27" s="264">
        <f t="shared" si="2"/>
        <v>167327.3775</v>
      </c>
      <c r="K27" s="259">
        <v>855</v>
      </c>
      <c r="L27" s="264">
        <f t="shared" si="3"/>
        <v>161735.46</v>
      </c>
    </row>
    <row r="28" spans="1:12" ht="15.75">
      <c r="A28" s="259">
        <v>19</v>
      </c>
      <c r="B28" s="258" t="s">
        <v>843</v>
      </c>
      <c r="C28" s="259">
        <v>1037</v>
      </c>
      <c r="D28" s="259">
        <v>171980</v>
      </c>
      <c r="E28" s="259">
        <v>1037</v>
      </c>
      <c r="F28" s="264">
        <f t="shared" si="0"/>
        <v>168540.4</v>
      </c>
      <c r="G28" s="259">
        <v>1037</v>
      </c>
      <c r="H28" s="264">
        <f t="shared" si="1"/>
        <v>168884.36</v>
      </c>
      <c r="I28" s="259">
        <v>1037</v>
      </c>
      <c r="J28" s="264">
        <f t="shared" si="2"/>
        <v>167250.55000000002</v>
      </c>
      <c r="K28" s="259">
        <v>1037</v>
      </c>
      <c r="L28" s="264">
        <f t="shared" si="3"/>
        <v>161661.19999999998</v>
      </c>
    </row>
    <row r="29" spans="1:12" ht="15.75">
      <c r="A29" s="259">
        <v>20</v>
      </c>
      <c r="B29" s="258" t="s">
        <v>844</v>
      </c>
      <c r="C29" s="259">
        <v>1317</v>
      </c>
      <c r="D29" s="259">
        <v>164106</v>
      </c>
      <c r="E29" s="259">
        <v>1317</v>
      </c>
      <c r="F29" s="264">
        <f t="shared" si="0"/>
        <v>160823.88</v>
      </c>
      <c r="G29" s="259">
        <v>1317</v>
      </c>
      <c r="H29" s="264">
        <f t="shared" si="1"/>
        <v>161152.092</v>
      </c>
      <c r="I29" s="259">
        <v>1317</v>
      </c>
      <c r="J29" s="264">
        <f t="shared" si="2"/>
        <v>159593.08499999999</v>
      </c>
      <c r="K29" s="259">
        <v>1317</v>
      </c>
      <c r="L29" s="264">
        <f t="shared" si="3"/>
        <v>154259.63999999998</v>
      </c>
    </row>
    <row r="30" spans="1:12" ht="15.75">
      <c r="A30" s="259">
        <v>21</v>
      </c>
      <c r="B30" s="258" t="s">
        <v>845</v>
      </c>
      <c r="C30" s="259">
        <v>1372</v>
      </c>
      <c r="D30" s="259">
        <v>281979</v>
      </c>
      <c r="E30" s="259">
        <v>1372</v>
      </c>
      <c r="F30" s="264">
        <f t="shared" si="0"/>
        <v>276339.42</v>
      </c>
      <c r="G30" s="259">
        <v>1372</v>
      </c>
      <c r="H30" s="264">
        <f t="shared" si="1"/>
        <v>276903.37799999997</v>
      </c>
      <c r="I30" s="259">
        <v>1372</v>
      </c>
      <c r="J30" s="264">
        <f t="shared" si="2"/>
        <v>274224.57750000001</v>
      </c>
      <c r="K30" s="259">
        <v>1372</v>
      </c>
      <c r="L30" s="264">
        <f t="shared" si="3"/>
        <v>265060.26</v>
      </c>
    </row>
    <row r="31" spans="1:12" ht="15.75">
      <c r="A31" s="259">
        <v>22</v>
      </c>
      <c r="B31" s="258" t="s">
        <v>846</v>
      </c>
      <c r="C31" s="259">
        <v>910</v>
      </c>
      <c r="D31" s="259">
        <v>176996</v>
      </c>
      <c r="E31" s="259">
        <v>910</v>
      </c>
      <c r="F31" s="264">
        <f t="shared" si="0"/>
        <v>173456.08</v>
      </c>
      <c r="G31" s="259">
        <v>910</v>
      </c>
      <c r="H31" s="264">
        <f t="shared" si="1"/>
        <v>173810.07199999999</v>
      </c>
      <c r="I31" s="259">
        <v>910</v>
      </c>
      <c r="J31" s="264">
        <f t="shared" si="2"/>
        <v>172128.61000000002</v>
      </c>
      <c r="K31" s="259">
        <v>910</v>
      </c>
      <c r="L31" s="264">
        <f t="shared" si="3"/>
        <v>166376.24</v>
      </c>
    </row>
    <row r="32" spans="1:12" ht="15.75">
      <c r="A32" s="259">
        <v>23</v>
      </c>
      <c r="B32" s="258" t="s">
        <v>847</v>
      </c>
      <c r="C32" s="259">
        <v>1244</v>
      </c>
      <c r="D32" s="259">
        <v>191339</v>
      </c>
      <c r="E32" s="259">
        <v>1244</v>
      </c>
      <c r="F32" s="264">
        <f t="shared" si="0"/>
        <v>187512.22</v>
      </c>
      <c r="G32" s="259">
        <v>1244</v>
      </c>
      <c r="H32" s="264">
        <f t="shared" si="1"/>
        <v>187894.89799999999</v>
      </c>
      <c r="I32" s="259">
        <v>1244</v>
      </c>
      <c r="J32" s="264">
        <f t="shared" si="2"/>
        <v>186077.17750000002</v>
      </c>
      <c r="K32" s="259">
        <v>1244</v>
      </c>
      <c r="L32" s="264">
        <f t="shared" si="3"/>
        <v>179858.66</v>
      </c>
    </row>
    <row r="33" spans="1:12" ht="15.75">
      <c r="A33" s="259">
        <v>24</v>
      </c>
      <c r="B33" s="258" t="s">
        <v>848</v>
      </c>
      <c r="C33" s="259">
        <v>1008</v>
      </c>
      <c r="D33" s="259">
        <v>149033</v>
      </c>
      <c r="E33" s="259">
        <v>1008</v>
      </c>
      <c r="F33" s="264">
        <f t="shared" si="0"/>
        <v>146052.34</v>
      </c>
      <c r="G33" s="259">
        <v>1008</v>
      </c>
      <c r="H33" s="264">
        <f t="shared" si="1"/>
        <v>146350.40599999999</v>
      </c>
      <c r="I33" s="259">
        <v>1008</v>
      </c>
      <c r="J33" s="264">
        <f t="shared" si="2"/>
        <v>144934.5925</v>
      </c>
      <c r="K33" s="259">
        <v>1008</v>
      </c>
      <c r="L33" s="264">
        <f t="shared" si="3"/>
        <v>140091.01999999999</v>
      </c>
    </row>
    <row r="34" spans="1:12" ht="15.75">
      <c r="A34" s="259">
        <v>25</v>
      </c>
      <c r="B34" s="258" t="s">
        <v>849</v>
      </c>
      <c r="C34" s="259">
        <v>771</v>
      </c>
      <c r="D34" s="259">
        <v>70632</v>
      </c>
      <c r="E34" s="259">
        <v>771</v>
      </c>
      <c r="F34" s="264">
        <f t="shared" si="0"/>
        <v>69219.360000000001</v>
      </c>
      <c r="G34" s="259">
        <v>771</v>
      </c>
      <c r="H34" s="264">
        <f t="shared" si="1"/>
        <v>69360.623999999996</v>
      </c>
      <c r="I34" s="259">
        <v>771</v>
      </c>
      <c r="J34" s="264">
        <f t="shared" si="2"/>
        <v>68689.62</v>
      </c>
      <c r="K34" s="259">
        <v>771</v>
      </c>
      <c r="L34" s="264">
        <f t="shared" si="3"/>
        <v>66394.080000000002</v>
      </c>
    </row>
    <row r="35" spans="1:12" ht="15.75">
      <c r="A35" s="259">
        <v>26</v>
      </c>
      <c r="B35" s="258" t="s">
        <v>850</v>
      </c>
      <c r="C35" s="259">
        <v>819</v>
      </c>
      <c r="D35" s="259">
        <v>79783</v>
      </c>
      <c r="E35" s="259">
        <v>819</v>
      </c>
      <c r="F35" s="264">
        <f t="shared" si="0"/>
        <v>78187.34</v>
      </c>
      <c r="G35" s="259">
        <v>819</v>
      </c>
      <c r="H35" s="264">
        <f t="shared" si="1"/>
        <v>78346.906000000003</v>
      </c>
      <c r="I35" s="259">
        <v>819</v>
      </c>
      <c r="J35" s="264">
        <f t="shared" si="2"/>
        <v>77588.967499999999</v>
      </c>
      <c r="K35" s="259">
        <v>819</v>
      </c>
      <c r="L35" s="264">
        <f t="shared" si="3"/>
        <v>74996.01999999999</v>
      </c>
    </row>
    <row r="36" spans="1:12" ht="15.75">
      <c r="A36" s="259">
        <v>27</v>
      </c>
      <c r="B36" s="258" t="s">
        <v>851</v>
      </c>
      <c r="C36" s="259">
        <v>1281</v>
      </c>
      <c r="D36" s="259">
        <v>146569</v>
      </c>
      <c r="E36" s="259">
        <v>1281</v>
      </c>
      <c r="F36" s="264">
        <f t="shared" si="0"/>
        <v>143637.62</v>
      </c>
      <c r="G36" s="259">
        <v>1281</v>
      </c>
      <c r="H36" s="264">
        <f t="shared" si="1"/>
        <v>143930.758</v>
      </c>
      <c r="I36" s="259">
        <v>1281</v>
      </c>
      <c r="J36" s="264">
        <f t="shared" si="2"/>
        <v>142538.35250000001</v>
      </c>
      <c r="K36" s="259">
        <v>1281</v>
      </c>
      <c r="L36" s="264">
        <f t="shared" si="3"/>
        <v>137774.85999999999</v>
      </c>
    </row>
    <row r="37" spans="1:12" ht="15.75" customHeight="1">
      <c r="A37" s="259">
        <v>28</v>
      </c>
      <c r="B37" s="258" t="s">
        <v>852</v>
      </c>
      <c r="C37" s="259">
        <v>261</v>
      </c>
      <c r="D37" s="259">
        <v>78421</v>
      </c>
      <c r="E37" s="259">
        <v>261</v>
      </c>
      <c r="F37" s="264">
        <f t="shared" si="0"/>
        <v>76852.58</v>
      </c>
      <c r="G37" s="259">
        <v>261</v>
      </c>
      <c r="H37" s="264">
        <f t="shared" si="1"/>
        <v>77009.422000000006</v>
      </c>
      <c r="I37" s="259">
        <v>261</v>
      </c>
      <c r="J37" s="264">
        <f t="shared" si="2"/>
        <v>76264.422500000001</v>
      </c>
      <c r="K37" s="259">
        <v>261</v>
      </c>
      <c r="L37" s="264">
        <f t="shared" si="3"/>
        <v>73715.739999999991</v>
      </c>
    </row>
    <row r="38" spans="1:12" ht="15.6" customHeight="1">
      <c r="A38" s="259">
        <v>29</v>
      </c>
      <c r="B38" s="258" t="s">
        <v>853</v>
      </c>
      <c r="C38" s="259">
        <v>1293</v>
      </c>
      <c r="D38" s="259">
        <v>123780</v>
      </c>
      <c r="E38" s="259">
        <v>1293</v>
      </c>
      <c r="F38" s="264">
        <f t="shared" si="0"/>
        <v>121304.4</v>
      </c>
      <c r="G38" s="259">
        <v>1293</v>
      </c>
      <c r="H38" s="264">
        <f t="shared" si="1"/>
        <v>121551.95999999999</v>
      </c>
      <c r="I38" s="259">
        <v>1293</v>
      </c>
      <c r="J38" s="264">
        <f t="shared" si="2"/>
        <v>120376.05</v>
      </c>
      <c r="K38" s="259">
        <v>1293</v>
      </c>
      <c r="L38" s="264">
        <f t="shared" si="3"/>
        <v>116353.2</v>
      </c>
    </row>
    <row r="39" spans="1:12" ht="15.75">
      <c r="A39" s="259">
        <v>30</v>
      </c>
      <c r="B39" s="258" t="s">
        <v>854</v>
      </c>
      <c r="C39" s="259">
        <v>661</v>
      </c>
      <c r="D39" s="259">
        <v>55617</v>
      </c>
      <c r="E39" s="259">
        <v>661</v>
      </c>
      <c r="F39" s="264">
        <f t="shared" si="0"/>
        <v>54504.659999999996</v>
      </c>
      <c r="G39" s="259">
        <v>661</v>
      </c>
      <c r="H39" s="264">
        <f t="shared" si="1"/>
        <v>54615.894</v>
      </c>
      <c r="I39" s="259">
        <v>661</v>
      </c>
      <c r="J39" s="264">
        <f t="shared" si="2"/>
        <v>54087.532500000001</v>
      </c>
      <c r="K39" s="259">
        <v>661</v>
      </c>
      <c r="L39" s="264">
        <f t="shared" si="3"/>
        <v>52279.979999999996</v>
      </c>
    </row>
    <row r="40" spans="1:12" ht="15.75">
      <c r="A40" s="259">
        <v>31</v>
      </c>
      <c r="B40" s="258" t="s">
        <v>855</v>
      </c>
      <c r="C40" s="259">
        <v>594</v>
      </c>
      <c r="D40" s="259">
        <v>128131</v>
      </c>
      <c r="E40" s="259">
        <v>594</v>
      </c>
      <c r="F40" s="264">
        <f t="shared" si="0"/>
        <v>125568.38</v>
      </c>
      <c r="G40" s="259">
        <v>594</v>
      </c>
      <c r="H40" s="264">
        <f t="shared" si="1"/>
        <v>125824.64199999999</v>
      </c>
      <c r="I40" s="259">
        <v>594</v>
      </c>
      <c r="J40" s="264">
        <f t="shared" si="2"/>
        <v>124607.39750000001</v>
      </c>
      <c r="K40" s="259">
        <v>594</v>
      </c>
      <c r="L40" s="264">
        <f t="shared" si="3"/>
        <v>120443.14</v>
      </c>
    </row>
    <row r="41" spans="1:12" ht="15.75">
      <c r="A41" s="259">
        <v>32</v>
      </c>
      <c r="B41" s="258" t="s">
        <v>856</v>
      </c>
      <c r="C41" s="259">
        <v>1241</v>
      </c>
      <c r="D41" s="259">
        <v>124431</v>
      </c>
      <c r="E41" s="259">
        <v>1241</v>
      </c>
      <c r="F41" s="264">
        <f t="shared" si="0"/>
        <v>121942.38</v>
      </c>
      <c r="G41" s="259">
        <v>1241</v>
      </c>
      <c r="H41" s="264">
        <f t="shared" si="1"/>
        <v>122191.242</v>
      </c>
      <c r="I41" s="259">
        <v>1241</v>
      </c>
      <c r="J41" s="264">
        <f t="shared" si="2"/>
        <v>121009.14750000001</v>
      </c>
      <c r="K41" s="259">
        <v>1241</v>
      </c>
      <c r="L41" s="264">
        <f t="shared" si="3"/>
        <v>116965.14</v>
      </c>
    </row>
    <row r="42" spans="1:12" ht="15.75">
      <c r="A42" s="259">
        <v>33</v>
      </c>
      <c r="B42" s="258" t="s">
        <v>857</v>
      </c>
      <c r="C42" s="259">
        <v>595</v>
      </c>
      <c r="D42" s="259">
        <v>94751</v>
      </c>
      <c r="E42" s="259">
        <v>595</v>
      </c>
      <c r="F42" s="264">
        <f t="shared" si="0"/>
        <v>92855.98</v>
      </c>
      <c r="G42" s="259">
        <v>595</v>
      </c>
      <c r="H42" s="264">
        <f t="shared" si="1"/>
        <v>93045.482000000004</v>
      </c>
      <c r="I42" s="259">
        <v>595</v>
      </c>
      <c r="J42" s="264">
        <f t="shared" si="2"/>
        <v>92145.347500000003</v>
      </c>
      <c r="K42" s="259">
        <v>595</v>
      </c>
      <c r="L42" s="264">
        <f t="shared" si="3"/>
        <v>89065.939999999988</v>
      </c>
    </row>
    <row r="43" spans="1:12" s="280" customFormat="1" ht="18.75">
      <c r="A43" s="1424" t="s">
        <v>18</v>
      </c>
      <c r="B43" s="1424"/>
      <c r="C43" s="261">
        <v>34307</v>
      </c>
      <c r="D43" s="261">
        <v>5761819</v>
      </c>
      <c r="E43" s="261">
        <v>34307</v>
      </c>
      <c r="F43" s="265">
        <f t="shared" si="0"/>
        <v>5646582.6200000001</v>
      </c>
      <c r="G43" s="261">
        <v>34307</v>
      </c>
      <c r="H43" s="265">
        <f t="shared" si="1"/>
        <v>5658106.2579999994</v>
      </c>
      <c r="I43" s="261">
        <v>34307</v>
      </c>
      <c r="J43" s="265">
        <f t="shared" si="2"/>
        <v>5603368.9775</v>
      </c>
      <c r="K43" s="261">
        <v>34307</v>
      </c>
      <c r="L43" s="265">
        <f t="shared" si="3"/>
        <v>5416109.8599999994</v>
      </c>
    </row>
    <row r="44" spans="1:12">
      <c r="A44" s="210"/>
      <c r="B44" s="13"/>
      <c r="C44" s="13"/>
      <c r="D44" s="13"/>
      <c r="E44" s="13"/>
      <c r="F44" s="13"/>
      <c r="G44" s="13"/>
      <c r="H44" s="13"/>
      <c r="I44" s="13"/>
      <c r="J44" s="13"/>
      <c r="K44" s="13"/>
      <c r="L44" s="13"/>
    </row>
    <row r="45" spans="1:12">
      <c r="A45" s="210"/>
      <c r="B45" s="13"/>
      <c r="C45" s="13"/>
      <c r="D45" s="13"/>
      <c r="E45" s="13"/>
      <c r="F45" s="13"/>
      <c r="G45" s="13"/>
      <c r="H45" s="13"/>
      <c r="I45" s="13"/>
      <c r="J45" s="13"/>
      <c r="K45" s="13"/>
      <c r="L45" s="13"/>
    </row>
    <row r="46" spans="1:12" s="994" customFormat="1" ht="15.75" customHeight="1">
      <c r="A46" s="15" t="s">
        <v>12</v>
      </c>
      <c r="B46" s="15"/>
      <c r="C46" s="15"/>
      <c r="H46" s="998"/>
      <c r="I46" s="998"/>
    </row>
    <row r="47" spans="1:12" s="994" customFormat="1" ht="15.6" customHeight="1">
      <c r="I47" s="1040" t="s">
        <v>1106</v>
      </c>
      <c r="J47" s="1040"/>
      <c r="K47" s="998"/>
    </row>
    <row r="48" spans="1:12" s="994" customFormat="1" ht="15.6" customHeight="1">
      <c r="I48" s="1040" t="s">
        <v>481</v>
      </c>
      <c r="J48" s="1040"/>
      <c r="K48" s="998"/>
    </row>
    <row r="49" spans="1:12" ht="18" customHeight="1">
      <c r="A49" s="430"/>
      <c r="B49" s="430"/>
      <c r="C49" s="430"/>
      <c r="D49" s="430"/>
      <c r="E49" s="430"/>
      <c r="F49" s="430"/>
      <c r="G49" s="430"/>
      <c r="I49" s="1040" t="s">
        <v>1107</v>
      </c>
      <c r="J49" s="1040"/>
      <c r="K49" s="998"/>
    </row>
    <row r="50" spans="1:12" ht="15">
      <c r="A50" s="210"/>
      <c r="B50" s="13"/>
      <c r="C50" s="13"/>
      <c r="D50" s="13"/>
      <c r="E50" s="13"/>
      <c r="F50" s="13"/>
      <c r="G50" s="13"/>
      <c r="H50" s="13"/>
      <c r="I50" s="13"/>
      <c r="J50" s="1425"/>
      <c r="K50" s="1425"/>
      <c r="L50" s="1425"/>
    </row>
    <row r="51" spans="1:12" ht="15">
      <c r="A51" s="210"/>
      <c r="B51" s="13"/>
      <c r="C51" s="13"/>
      <c r="D51" s="13"/>
      <c r="E51" s="13"/>
      <c r="F51" s="13"/>
      <c r="G51" s="13"/>
      <c r="H51" s="13"/>
      <c r="I51" s="13"/>
      <c r="J51" s="1425"/>
      <c r="K51" s="1425"/>
      <c r="L51" s="1425"/>
    </row>
    <row r="52" spans="1:12">
      <c r="A52" s="210"/>
      <c r="B52" s="13"/>
      <c r="C52" s="13"/>
      <c r="D52" s="13"/>
      <c r="E52" s="13"/>
      <c r="F52" s="13"/>
      <c r="G52" s="13"/>
      <c r="H52" s="13"/>
      <c r="I52" s="13"/>
      <c r="J52" s="13"/>
      <c r="K52" s="13"/>
      <c r="L52" s="13"/>
    </row>
    <row r="53" spans="1:12">
      <c r="A53" s="210"/>
      <c r="B53" s="13"/>
      <c r="C53" s="13"/>
      <c r="D53" s="13"/>
      <c r="E53" s="13"/>
      <c r="F53" s="13"/>
      <c r="G53" s="13"/>
      <c r="H53" s="13"/>
      <c r="I53" s="13"/>
      <c r="J53" s="13"/>
      <c r="K53" s="13"/>
      <c r="L53" s="13"/>
    </row>
    <row r="54" spans="1:12">
      <c r="A54" s="210"/>
      <c r="B54" s="13"/>
      <c r="C54" s="13"/>
      <c r="D54" s="13"/>
      <c r="E54" s="13"/>
      <c r="F54" s="13"/>
      <c r="G54" s="13"/>
      <c r="H54" s="13"/>
      <c r="I54" s="13"/>
      <c r="J54" s="13"/>
      <c r="K54" s="13"/>
      <c r="L54" s="13"/>
    </row>
    <row r="55" spans="1:12">
      <c r="A55" s="210"/>
      <c r="B55" s="13"/>
      <c r="C55" s="13"/>
      <c r="D55" s="13"/>
      <c r="E55" s="13"/>
      <c r="F55" s="13"/>
      <c r="G55" s="13"/>
      <c r="H55" s="13"/>
      <c r="I55" s="13"/>
      <c r="J55" s="13"/>
      <c r="K55" s="13"/>
      <c r="L55" s="13"/>
    </row>
    <row r="56" spans="1:12">
      <c r="A56" s="210"/>
      <c r="B56" s="13"/>
      <c r="C56" s="13"/>
      <c r="D56" s="13"/>
      <c r="E56" s="13"/>
      <c r="F56" s="13"/>
      <c r="G56" s="13"/>
      <c r="H56" s="13"/>
      <c r="I56" s="13"/>
      <c r="J56" s="13"/>
      <c r="K56" s="13"/>
      <c r="L56" s="13"/>
    </row>
  </sheetData>
  <mergeCells count="15">
    <mergeCell ref="I49:J49"/>
    <mergeCell ref="J50:L50"/>
    <mergeCell ref="J51:L51"/>
    <mergeCell ref="A4:L4"/>
    <mergeCell ref="A6:L6"/>
    <mergeCell ref="A7:A8"/>
    <mergeCell ref="B7:B8"/>
    <mergeCell ref="C7:C8"/>
    <mergeCell ref="D7:D8"/>
    <mergeCell ref="A5:L5"/>
    <mergeCell ref="A1:L2"/>
    <mergeCell ref="A3:L3"/>
    <mergeCell ref="A43:B43"/>
    <mergeCell ref="I47:J47"/>
    <mergeCell ref="I48:J48"/>
  </mergeCells>
  <printOptions horizontalCentered="1"/>
  <pageMargins left="0.70866141732283472" right="0.70866141732283472" top="0.63" bottom="0" header="0.79" footer="0.31496062992125984"/>
  <pageSetup paperSize="9" scale="73"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K52"/>
  <sheetViews>
    <sheetView topLeftCell="A37" zoomScaleSheetLayoutView="100" workbookViewId="0">
      <selection activeCell="E13" sqref="E13"/>
    </sheetView>
  </sheetViews>
  <sheetFormatPr defaultColWidth="8.85546875" defaultRowHeight="12.75"/>
  <cols>
    <col min="1" max="1" width="11.140625" style="80" customWidth="1"/>
    <col min="2" max="2" width="19.140625" style="80" customWidth="1"/>
    <col min="3" max="3" width="20.5703125" style="80" customWidth="1"/>
    <col min="4" max="4" width="22.28515625" style="80" customWidth="1"/>
    <col min="5" max="5" width="25.42578125" style="80" customWidth="1"/>
    <col min="6" max="6" width="27.42578125" style="88" customWidth="1"/>
    <col min="7" max="16384" width="8.85546875" style="80"/>
  </cols>
  <sheetData>
    <row r="1" spans="1:7" ht="12.75" customHeight="1">
      <c r="D1" s="230"/>
      <c r="E1" s="230"/>
      <c r="F1" s="305" t="s">
        <v>98</v>
      </c>
    </row>
    <row r="2" spans="1:7" ht="15" customHeight="1">
      <c r="B2" s="1432" t="s">
        <v>0</v>
      </c>
      <c r="C2" s="1432"/>
      <c r="D2" s="1432"/>
      <c r="E2" s="1432"/>
      <c r="F2" s="1432"/>
    </row>
    <row r="3" spans="1:7" ht="20.25">
      <c r="B3" s="1155" t="s">
        <v>636</v>
      </c>
      <c r="C3" s="1155"/>
      <c r="D3" s="1155"/>
      <c r="E3" s="1155"/>
      <c r="F3" s="1155"/>
    </row>
    <row r="4" spans="1:7" ht="11.25" customHeight="1">
      <c r="F4" s="91"/>
    </row>
    <row r="5" spans="1:7">
      <c r="A5" s="1433" t="s">
        <v>445</v>
      </c>
      <c r="B5" s="1433"/>
      <c r="C5" s="1433"/>
      <c r="D5" s="1433"/>
      <c r="E5" s="1433"/>
      <c r="F5" s="1433"/>
    </row>
    <row r="6" spans="1:7" ht="8.4499999999999993" customHeight="1">
      <c r="A6" s="82"/>
      <c r="B6" s="82"/>
      <c r="C6" s="82"/>
      <c r="D6" s="82"/>
      <c r="E6" s="82"/>
      <c r="F6" s="306"/>
    </row>
    <row r="7" spans="1:7" ht="18" customHeight="1">
      <c r="A7" s="1092" t="s">
        <v>905</v>
      </c>
      <c r="B7" s="1092"/>
      <c r="F7" s="91"/>
    </row>
    <row r="8" spans="1:7" ht="18" hidden="1" customHeight="1">
      <c r="A8" s="83" t="s">
        <v>1</v>
      </c>
      <c r="F8" s="307"/>
    </row>
    <row r="9" spans="1:7" ht="30.6" customHeight="1">
      <c r="A9" s="1295" t="s">
        <v>2</v>
      </c>
      <c r="B9" s="1295" t="s">
        <v>3</v>
      </c>
      <c r="C9" s="1434" t="s">
        <v>441</v>
      </c>
      <c r="D9" s="1435"/>
      <c r="E9" s="1434" t="s">
        <v>444</v>
      </c>
      <c r="F9" s="1435"/>
      <c r="G9" s="309"/>
    </row>
    <row r="10" spans="1:7" s="93" customFormat="1" ht="25.5">
      <c r="A10" s="1295"/>
      <c r="B10" s="1295"/>
      <c r="C10" s="308" t="s">
        <v>442</v>
      </c>
      <c r="D10" s="308" t="s">
        <v>443</v>
      </c>
      <c r="E10" s="310" t="s">
        <v>442</v>
      </c>
      <c r="F10" s="308" t="s">
        <v>443</v>
      </c>
      <c r="G10" s="311"/>
    </row>
    <row r="11" spans="1:7" s="144" customFormat="1">
      <c r="A11" s="312">
        <v>1</v>
      </c>
      <c r="B11" s="312">
        <v>2</v>
      </c>
      <c r="C11" s="312">
        <v>3</v>
      </c>
      <c r="D11" s="312">
        <v>4</v>
      </c>
      <c r="E11" s="313">
        <v>5</v>
      </c>
      <c r="F11" s="312">
        <v>6</v>
      </c>
      <c r="G11" s="314"/>
    </row>
    <row r="12" spans="1:7">
      <c r="A12" s="8">
        <v>1</v>
      </c>
      <c r="B12" s="9" t="s">
        <v>825</v>
      </c>
      <c r="C12" s="316">
        <v>565</v>
      </c>
      <c r="D12" s="316">
        <v>565</v>
      </c>
      <c r="E12" s="317">
        <f>588+142</f>
        <v>730</v>
      </c>
      <c r="F12" s="317">
        <f>588+142</f>
        <v>730</v>
      </c>
    </row>
    <row r="13" spans="1:7">
      <c r="A13" s="8">
        <v>2</v>
      </c>
      <c r="B13" s="9" t="s">
        <v>826</v>
      </c>
      <c r="C13" s="316">
        <v>45</v>
      </c>
      <c r="D13" s="316">
        <v>45</v>
      </c>
      <c r="E13" s="317">
        <f>4+762</f>
        <v>766</v>
      </c>
      <c r="F13" s="317">
        <f>4+762</f>
        <v>766</v>
      </c>
    </row>
    <row r="14" spans="1:7">
      <c r="A14" s="8">
        <v>3</v>
      </c>
      <c r="B14" s="9" t="s">
        <v>827</v>
      </c>
      <c r="C14" s="316">
        <v>567</v>
      </c>
      <c r="D14" s="316">
        <v>567</v>
      </c>
      <c r="E14" s="317">
        <v>882</v>
      </c>
      <c r="F14" s="317">
        <v>882</v>
      </c>
    </row>
    <row r="15" spans="1:7">
      <c r="A15" s="8">
        <v>4</v>
      </c>
      <c r="B15" s="9" t="s">
        <v>828</v>
      </c>
      <c r="C15" s="316">
        <v>356</v>
      </c>
      <c r="D15" s="316">
        <v>356</v>
      </c>
      <c r="E15" s="317">
        <f>13+732</f>
        <v>745</v>
      </c>
      <c r="F15" s="317">
        <f>13+732</f>
        <v>745</v>
      </c>
    </row>
    <row r="16" spans="1:7">
      <c r="A16" s="8">
        <v>5</v>
      </c>
      <c r="B16" s="9" t="s">
        <v>829</v>
      </c>
      <c r="C16" s="316">
        <v>1255</v>
      </c>
      <c r="D16" s="316">
        <v>1255</v>
      </c>
      <c r="E16" s="317">
        <v>1296</v>
      </c>
      <c r="F16" s="317">
        <v>1296</v>
      </c>
    </row>
    <row r="17" spans="1:6">
      <c r="A17" s="8">
        <v>6</v>
      </c>
      <c r="B17" s="9" t="s">
        <v>830</v>
      </c>
      <c r="C17" s="316">
        <v>242</v>
      </c>
      <c r="D17" s="316">
        <v>242</v>
      </c>
      <c r="E17" s="317">
        <f>15+733</f>
        <v>748</v>
      </c>
      <c r="F17" s="317">
        <f>15+733</f>
        <v>748</v>
      </c>
    </row>
    <row r="18" spans="1:6">
      <c r="A18" s="8">
        <v>7</v>
      </c>
      <c r="B18" s="9" t="s">
        <v>831</v>
      </c>
      <c r="C18" s="316">
        <v>250</v>
      </c>
      <c r="D18" s="316">
        <v>250</v>
      </c>
      <c r="E18" s="317">
        <v>450</v>
      </c>
      <c r="F18" s="317">
        <v>450</v>
      </c>
    </row>
    <row r="19" spans="1:6">
      <c r="A19" s="8">
        <v>8</v>
      </c>
      <c r="B19" s="9" t="s">
        <v>832</v>
      </c>
      <c r="C19" s="316">
        <v>260</v>
      </c>
      <c r="D19" s="316">
        <v>260</v>
      </c>
      <c r="E19" s="317">
        <f>5+786</f>
        <v>791</v>
      </c>
      <c r="F19" s="317">
        <f>5+786</f>
        <v>791</v>
      </c>
    </row>
    <row r="20" spans="1:6">
      <c r="A20" s="8">
        <v>9</v>
      </c>
      <c r="B20" s="9" t="s">
        <v>833</v>
      </c>
      <c r="C20" s="316">
        <v>226</v>
      </c>
      <c r="D20" s="316">
        <v>226</v>
      </c>
      <c r="E20" s="317">
        <v>1565</v>
      </c>
      <c r="F20" s="317">
        <v>1565</v>
      </c>
    </row>
    <row r="21" spans="1:6">
      <c r="A21" s="8">
        <v>10</v>
      </c>
      <c r="B21" s="9" t="s">
        <v>834</v>
      </c>
      <c r="C21" s="316">
        <v>254</v>
      </c>
      <c r="D21" s="316">
        <v>254</v>
      </c>
      <c r="E21" s="317">
        <v>178</v>
      </c>
      <c r="F21" s="317">
        <v>178</v>
      </c>
    </row>
    <row r="22" spans="1:6">
      <c r="A22" s="8">
        <v>11</v>
      </c>
      <c r="B22" s="9" t="s">
        <v>835</v>
      </c>
      <c r="C22" s="316">
        <v>127</v>
      </c>
      <c r="D22" s="316">
        <v>127</v>
      </c>
      <c r="E22" s="317">
        <v>502</v>
      </c>
      <c r="F22" s="317">
        <v>502</v>
      </c>
    </row>
    <row r="23" spans="1:6">
      <c r="A23" s="8">
        <v>12</v>
      </c>
      <c r="B23" s="9" t="s">
        <v>836</v>
      </c>
      <c r="C23" s="316">
        <v>618</v>
      </c>
      <c r="D23" s="316">
        <v>618</v>
      </c>
      <c r="E23" s="317">
        <f>110+731</f>
        <v>841</v>
      </c>
      <c r="F23" s="317">
        <f>110+731</f>
        <v>841</v>
      </c>
    </row>
    <row r="24" spans="1:6">
      <c r="A24" s="8">
        <v>13</v>
      </c>
      <c r="B24" s="9" t="s">
        <v>837</v>
      </c>
      <c r="C24" s="316">
        <v>789</v>
      </c>
      <c r="D24" s="316">
        <v>789</v>
      </c>
      <c r="E24" s="317">
        <v>945</v>
      </c>
      <c r="F24" s="317">
        <v>945</v>
      </c>
    </row>
    <row r="25" spans="1:6">
      <c r="A25" s="8">
        <v>14</v>
      </c>
      <c r="B25" s="9" t="s">
        <v>838</v>
      </c>
      <c r="C25" s="316">
        <v>24</v>
      </c>
      <c r="D25" s="316">
        <v>24</v>
      </c>
      <c r="E25" s="317">
        <v>770</v>
      </c>
      <c r="F25" s="317">
        <v>770</v>
      </c>
    </row>
    <row r="26" spans="1:6">
      <c r="A26" s="8">
        <v>15</v>
      </c>
      <c r="B26" s="9" t="s">
        <v>839</v>
      </c>
      <c r="C26" s="316">
        <v>111</v>
      </c>
      <c r="D26" s="316">
        <v>111</v>
      </c>
      <c r="E26" s="317">
        <v>713</v>
      </c>
      <c r="F26" s="317">
        <v>713</v>
      </c>
    </row>
    <row r="27" spans="1:6">
      <c r="A27" s="8">
        <v>16</v>
      </c>
      <c r="B27" s="9" t="s">
        <v>840</v>
      </c>
      <c r="C27" s="316">
        <v>85</v>
      </c>
      <c r="D27" s="316">
        <v>85</v>
      </c>
      <c r="E27" s="317">
        <v>250</v>
      </c>
      <c r="F27" s="317">
        <v>250</v>
      </c>
    </row>
    <row r="28" spans="1:6">
      <c r="A28" s="8">
        <v>17</v>
      </c>
      <c r="B28" s="9" t="s">
        <v>841</v>
      </c>
      <c r="C28" s="316">
        <v>146</v>
      </c>
      <c r="D28" s="316">
        <v>146</v>
      </c>
      <c r="E28" s="317">
        <v>956</v>
      </c>
      <c r="F28" s="317">
        <v>956</v>
      </c>
    </row>
    <row r="29" spans="1:6">
      <c r="A29" s="8">
        <v>18</v>
      </c>
      <c r="B29" s="9" t="s">
        <v>842</v>
      </c>
      <c r="C29" s="316">
        <v>172</v>
      </c>
      <c r="D29" s="316">
        <v>172</v>
      </c>
      <c r="E29" s="317">
        <f>7+676</f>
        <v>683</v>
      </c>
      <c r="F29" s="317">
        <f>7+676</f>
        <v>683</v>
      </c>
    </row>
    <row r="30" spans="1:6">
      <c r="A30" s="8">
        <v>19</v>
      </c>
      <c r="B30" s="9" t="s">
        <v>843</v>
      </c>
      <c r="C30" s="316">
        <v>43</v>
      </c>
      <c r="D30" s="316">
        <v>43</v>
      </c>
      <c r="E30" s="317">
        <v>994</v>
      </c>
      <c r="F30" s="317">
        <v>994</v>
      </c>
    </row>
    <row r="31" spans="1:6" ht="15.75" customHeight="1">
      <c r="A31" s="8">
        <v>20</v>
      </c>
      <c r="B31" s="9" t="s">
        <v>844</v>
      </c>
      <c r="C31" s="316">
        <v>436</v>
      </c>
      <c r="D31" s="316">
        <v>436</v>
      </c>
      <c r="E31" s="317">
        <f>39+842</f>
        <v>881</v>
      </c>
      <c r="F31" s="317">
        <f>39+842</f>
        <v>881</v>
      </c>
    </row>
    <row r="32" spans="1:6" ht="15.6" customHeight="1">
      <c r="A32" s="8">
        <v>21</v>
      </c>
      <c r="B32" s="9" t="s">
        <v>845</v>
      </c>
      <c r="C32" s="316">
        <v>564</v>
      </c>
      <c r="D32" s="316">
        <v>564</v>
      </c>
      <c r="E32" s="317">
        <v>808</v>
      </c>
      <c r="F32" s="317">
        <v>808</v>
      </c>
    </row>
    <row r="33" spans="1:9" ht="15.75" customHeight="1">
      <c r="A33" s="8">
        <v>22</v>
      </c>
      <c r="B33" s="9" t="s">
        <v>846</v>
      </c>
      <c r="C33" s="316">
        <v>71</v>
      </c>
      <c r="D33" s="316">
        <v>71</v>
      </c>
      <c r="E33" s="317">
        <f>52+787</f>
        <v>839</v>
      </c>
      <c r="F33" s="317">
        <f>52+787</f>
        <v>839</v>
      </c>
    </row>
    <row r="34" spans="1:9">
      <c r="A34" s="8">
        <v>23</v>
      </c>
      <c r="B34" s="9" t="s">
        <v>847</v>
      </c>
      <c r="C34" s="316">
        <v>643</v>
      </c>
      <c r="D34" s="316">
        <v>643</v>
      </c>
      <c r="E34" s="317">
        <f>18+583</f>
        <v>601</v>
      </c>
      <c r="F34" s="317">
        <f>18+583</f>
        <v>601</v>
      </c>
    </row>
    <row r="35" spans="1:9">
      <c r="A35" s="8">
        <v>24</v>
      </c>
      <c r="B35" s="9" t="s">
        <v>848</v>
      </c>
      <c r="C35" s="316">
        <v>534</v>
      </c>
      <c r="D35" s="316">
        <v>534</v>
      </c>
      <c r="E35" s="317">
        <v>474</v>
      </c>
      <c r="F35" s="317">
        <v>474</v>
      </c>
    </row>
    <row r="36" spans="1:9">
      <c r="A36" s="8">
        <v>25</v>
      </c>
      <c r="B36" s="9" t="s">
        <v>849</v>
      </c>
      <c r="C36" s="316">
        <v>271</v>
      </c>
      <c r="D36" s="316">
        <v>271</v>
      </c>
      <c r="E36" s="317">
        <v>500</v>
      </c>
      <c r="F36" s="317">
        <v>500</v>
      </c>
    </row>
    <row r="37" spans="1:9">
      <c r="A37" s="8">
        <v>26</v>
      </c>
      <c r="B37" s="9" t="s">
        <v>850</v>
      </c>
      <c r="C37" s="316">
        <v>487</v>
      </c>
      <c r="D37" s="316">
        <v>487</v>
      </c>
      <c r="E37" s="317">
        <v>332</v>
      </c>
      <c r="F37" s="317">
        <v>332</v>
      </c>
    </row>
    <row r="38" spans="1:9">
      <c r="A38" s="8">
        <v>27</v>
      </c>
      <c r="B38" s="9" t="s">
        <v>851</v>
      </c>
      <c r="C38" s="316">
        <v>552</v>
      </c>
      <c r="D38" s="316">
        <v>552</v>
      </c>
      <c r="E38" s="317">
        <f>337+392</f>
        <v>729</v>
      </c>
      <c r="F38" s="317">
        <f>337+392</f>
        <v>729</v>
      </c>
    </row>
    <row r="39" spans="1:9">
      <c r="A39" s="8">
        <v>28</v>
      </c>
      <c r="B39" s="9" t="s">
        <v>852</v>
      </c>
      <c r="C39" s="316">
        <v>17</v>
      </c>
      <c r="D39" s="316">
        <v>17</v>
      </c>
      <c r="E39" s="317">
        <v>244</v>
      </c>
      <c r="F39" s="317">
        <v>244</v>
      </c>
    </row>
    <row r="40" spans="1:9">
      <c r="A40" s="8">
        <v>29</v>
      </c>
      <c r="B40" s="9" t="s">
        <v>853</v>
      </c>
      <c r="C40" s="316">
        <v>819</v>
      </c>
      <c r="D40" s="316">
        <v>819</v>
      </c>
      <c r="E40" s="317">
        <v>474</v>
      </c>
      <c r="F40" s="317">
        <v>474</v>
      </c>
    </row>
    <row r="41" spans="1:9">
      <c r="A41" s="8">
        <v>30</v>
      </c>
      <c r="B41" s="9" t="s">
        <v>854</v>
      </c>
      <c r="C41" s="316">
        <v>108</v>
      </c>
      <c r="D41" s="316">
        <v>108</v>
      </c>
      <c r="E41" s="317">
        <v>553</v>
      </c>
      <c r="F41" s="317">
        <v>553</v>
      </c>
    </row>
    <row r="42" spans="1:9">
      <c r="A42" s="8">
        <v>31</v>
      </c>
      <c r="B42" s="9" t="s">
        <v>855</v>
      </c>
      <c r="C42" s="316">
        <v>59</v>
      </c>
      <c r="D42" s="316">
        <v>59</v>
      </c>
      <c r="E42" s="317">
        <v>535</v>
      </c>
      <c r="F42" s="317">
        <v>535</v>
      </c>
    </row>
    <row r="43" spans="1:9">
      <c r="A43" s="8">
        <v>32</v>
      </c>
      <c r="B43" s="9" t="s">
        <v>856</v>
      </c>
      <c r="C43" s="316">
        <v>697</v>
      </c>
      <c r="D43" s="316">
        <v>697</v>
      </c>
      <c r="E43" s="317">
        <v>544</v>
      </c>
      <c r="F43" s="317">
        <v>544</v>
      </c>
    </row>
    <row r="44" spans="1:9">
      <c r="A44" s="8">
        <v>33</v>
      </c>
      <c r="B44" s="9" t="s">
        <v>857</v>
      </c>
      <c r="C44" s="316">
        <v>27</v>
      </c>
      <c r="D44" s="316">
        <v>27</v>
      </c>
      <c r="E44" s="317">
        <f>542+26</f>
        <v>568</v>
      </c>
      <c r="F44" s="317">
        <f>542+26</f>
        <v>568</v>
      </c>
    </row>
    <row r="45" spans="1:9">
      <c r="A45" s="84" t="s">
        <v>18</v>
      </c>
      <c r="B45" s="253"/>
      <c r="C45" s="318">
        <f>SUM(C12:C44)</f>
        <v>11420</v>
      </c>
      <c r="D45" s="318">
        <f>SUM(D12:D44)</f>
        <v>11420</v>
      </c>
      <c r="E45" s="319">
        <f>SUM(E12:E44)</f>
        <v>22887</v>
      </c>
      <c r="F45" s="319">
        <f>SUM(F12:F44)</f>
        <v>22887</v>
      </c>
    </row>
    <row r="46" spans="1:9">
      <c r="A46" s="90"/>
      <c r="B46" s="91"/>
      <c r="C46" s="91"/>
      <c r="D46" s="91"/>
      <c r="E46" s="91"/>
      <c r="F46" s="91"/>
    </row>
    <row r="47" spans="1:9">
      <c r="C47" s="80" t="s">
        <v>11</v>
      </c>
      <c r="E47" s="315"/>
      <c r="F47" s="91"/>
    </row>
    <row r="48" spans="1:9" s="994" customFormat="1" ht="15.75" customHeight="1">
      <c r="A48" s="15" t="s">
        <v>12</v>
      </c>
      <c r="B48" s="15"/>
      <c r="C48" s="15"/>
      <c r="H48" s="998"/>
      <c r="I48" s="998"/>
    </row>
    <row r="49" spans="1:11" s="994" customFormat="1" ht="15.6" customHeight="1">
      <c r="E49" s="1040" t="s">
        <v>1106</v>
      </c>
      <c r="F49" s="1040"/>
      <c r="K49" s="998"/>
    </row>
    <row r="50" spans="1:11" s="994" customFormat="1" ht="15.6" customHeight="1">
      <c r="E50" s="1040" t="s">
        <v>481</v>
      </c>
      <c r="F50" s="1040"/>
      <c r="K50" s="998"/>
    </row>
    <row r="51" spans="1:11" customFormat="1" ht="18" customHeight="1">
      <c r="A51" s="430"/>
      <c r="B51" s="430"/>
      <c r="C51" s="430"/>
      <c r="D51" s="430"/>
      <c r="E51" s="1040" t="s">
        <v>1107</v>
      </c>
      <c r="F51" s="1040"/>
      <c r="G51" s="430"/>
      <c r="I51" s="80"/>
      <c r="J51" s="80"/>
      <c r="K51" s="998"/>
    </row>
    <row r="52" spans="1:11">
      <c r="A52" s="1431"/>
      <c r="B52" s="1431"/>
      <c r="C52" s="1431"/>
      <c r="D52" s="1431"/>
      <c r="E52" s="1431"/>
      <c r="F52" s="1431"/>
    </row>
  </sheetData>
  <mergeCells count="12">
    <mergeCell ref="B2:F2"/>
    <mergeCell ref="A5:F5"/>
    <mergeCell ref="C9:D9"/>
    <mergeCell ref="E9:F9"/>
    <mergeCell ref="A9:A10"/>
    <mergeCell ref="B9:B10"/>
    <mergeCell ref="A7:B7"/>
    <mergeCell ref="E49:F49"/>
    <mergeCell ref="E50:F50"/>
    <mergeCell ref="E51:F51"/>
    <mergeCell ref="A52:F52"/>
    <mergeCell ref="B3:F3"/>
  </mergeCells>
  <phoneticPr fontId="0" type="noConversion"/>
  <printOptions horizontalCentered="1"/>
  <pageMargins left="0.70866141732283472" right="0.70866141732283472" top="0.63" bottom="0" header="0.79"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M56"/>
  <sheetViews>
    <sheetView topLeftCell="A43" zoomScale="85" zoomScaleNormal="85" zoomScaleSheetLayoutView="100" workbookViewId="0">
      <selection activeCell="E13" sqref="E13"/>
    </sheetView>
  </sheetViews>
  <sheetFormatPr defaultRowHeight="12.75"/>
  <cols>
    <col min="2" max="2" width="21.42578125" style="76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c r="A1" s="80"/>
      <c r="B1" s="814"/>
      <c r="C1" s="80"/>
      <c r="D1" s="1272"/>
      <c r="E1" s="1272"/>
      <c r="F1" s="38"/>
      <c r="G1" s="1272" t="s">
        <v>447</v>
      </c>
      <c r="H1" s="1272"/>
      <c r="I1" s="1272"/>
      <c r="J1" s="1272"/>
      <c r="K1" s="94"/>
      <c r="L1" s="80"/>
      <c r="M1" s="80"/>
    </row>
    <row r="2" spans="1:13" ht="15.75">
      <c r="A2" s="1432" t="s">
        <v>0</v>
      </c>
      <c r="B2" s="1432"/>
      <c r="C2" s="1432"/>
      <c r="D2" s="1432"/>
      <c r="E2" s="1432"/>
      <c r="F2" s="1432"/>
      <c r="G2" s="1432"/>
      <c r="H2" s="1432"/>
      <c r="I2" s="1432"/>
      <c r="J2" s="1432"/>
      <c r="K2" s="80"/>
      <c r="L2" s="80"/>
      <c r="M2" s="80"/>
    </row>
    <row r="3" spans="1:13" ht="18">
      <c r="A3" s="116"/>
      <c r="B3" s="822"/>
      <c r="C3" s="1445" t="s">
        <v>636</v>
      </c>
      <c r="D3" s="1445"/>
      <c r="E3" s="1445"/>
      <c r="F3" s="1445"/>
      <c r="G3" s="1445"/>
      <c r="H3" s="1445"/>
      <c r="I3" s="1445"/>
      <c r="J3" s="116"/>
      <c r="K3" s="80"/>
      <c r="L3" s="80"/>
      <c r="M3" s="80"/>
    </row>
    <row r="4" spans="1:13" ht="15.75">
      <c r="A4" s="1156" t="s">
        <v>446</v>
      </c>
      <c r="B4" s="1156"/>
      <c r="C4" s="1156"/>
      <c r="D4" s="1156"/>
      <c r="E4" s="1156"/>
      <c r="F4" s="1156"/>
      <c r="G4" s="1156"/>
      <c r="H4" s="1156"/>
      <c r="I4" s="1156"/>
      <c r="J4" s="1156"/>
      <c r="K4" s="80"/>
      <c r="L4" s="80"/>
      <c r="M4" s="80"/>
    </row>
    <row r="5" spans="1:13" ht="15.75">
      <c r="A5" s="1092" t="s">
        <v>905</v>
      </c>
      <c r="B5" s="1092"/>
      <c r="C5" s="82"/>
      <c r="D5" s="82"/>
      <c r="E5" s="82"/>
      <c r="F5" s="82"/>
      <c r="G5" s="82"/>
      <c r="H5" s="82"/>
      <c r="I5" s="82"/>
      <c r="J5" s="82"/>
      <c r="K5" s="80"/>
      <c r="L5" s="80"/>
      <c r="M5" s="80"/>
    </row>
    <row r="6" spans="1:13" ht="21.75" customHeight="1">
      <c r="A6" s="1438" t="s">
        <v>2</v>
      </c>
      <c r="B6" s="1440" t="s">
        <v>3</v>
      </c>
      <c r="C6" s="1442" t="s">
        <v>140</v>
      </c>
      <c r="D6" s="1443"/>
      <c r="E6" s="1443"/>
      <c r="F6" s="1443"/>
      <c r="G6" s="1443"/>
      <c r="H6" s="1443"/>
      <c r="I6" s="1443"/>
      <c r="J6" s="1444"/>
      <c r="K6" s="80"/>
      <c r="L6" s="80"/>
      <c r="M6" s="80"/>
    </row>
    <row r="7" spans="1:13" ht="39.75" customHeight="1">
      <c r="A7" s="1439"/>
      <c r="B7" s="1441"/>
      <c r="C7" s="85" t="s">
        <v>200</v>
      </c>
      <c r="D7" s="85" t="s">
        <v>120</v>
      </c>
      <c r="E7" s="85" t="s">
        <v>384</v>
      </c>
      <c r="F7" s="123" t="s">
        <v>168</v>
      </c>
      <c r="G7" s="123" t="s">
        <v>121</v>
      </c>
      <c r="H7" s="135" t="s">
        <v>199</v>
      </c>
      <c r="I7" s="135" t="s">
        <v>220</v>
      </c>
      <c r="J7" s="86" t="s">
        <v>18</v>
      </c>
      <c r="K7" s="93"/>
      <c r="L7" s="93"/>
      <c r="M7" s="93"/>
    </row>
    <row r="8" spans="1:13" s="15" customFormat="1">
      <c r="A8" s="85">
        <v>1</v>
      </c>
      <c r="B8" s="812">
        <v>2</v>
      </c>
      <c r="C8" s="85">
        <v>3</v>
      </c>
      <c r="D8" s="85">
        <v>4</v>
      </c>
      <c r="E8" s="85">
        <v>5</v>
      </c>
      <c r="F8" s="85">
        <v>6</v>
      </c>
      <c r="G8" s="85">
        <v>7</v>
      </c>
      <c r="H8" s="87">
        <v>8</v>
      </c>
      <c r="I8" s="87">
        <v>9</v>
      </c>
      <c r="J8" s="86">
        <v>10</v>
      </c>
      <c r="K8" s="93"/>
      <c r="L8" s="93"/>
      <c r="M8" s="93"/>
    </row>
    <row r="9" spans="1:13" ht="15">
      <c r="A9" s="8">
        <v>1</v>
      </c>
      <c r="B9" s="768" t="s">
        <v>825</v>
      </c>
      <c r="C9" s="328">
        <f>J9-G9</f>
        <v>798</v>
      </c>
      <c r="D9" s="328">
        <v>0</v>
      </c>
      <c r="E9" s="328">
        <v>0</v>
      </c>
      <c r="F9" s="328">
        <v>0</v>
      </c>
      <c r="G9" s="328">
        <v>497</v>
      </c>
      <c r="H9" s="328">
        <v>0</v>
      </c>
      <c r="I9" s="328">
        <v>0</v>
      </c>
      <c r="J9" s="328">
        <v>1295</v>
      </c>
      <c r="K9" s="80"/>
      <c r="L9" s="80"/>
      <c r="M9" s="80"/>
    </row>
    <row r="10" spans="1:13" ht="15">
      <c r="A10" s="327">
        <v>2</v>
      </c>
      <c r="B10" s="823" t="s">
        <v>826</v>
      </c>
      <c r="C10" s="328">
        <f t="shared" ref="C10:C42" si="0">J10-G10</f>
        <v>811</v>
      </c>
      <c r="D10" s="329">
        <v>0</v>
      </c>
      <c r="E10" s="329">
        <v>0</v>
      </c>
      <c r="F10" s="330">
        <v>0</v>
      </c>
      <c r="G10" s="330">
        <v>0</v>
      </c>
      <c r="H10" s="329">
        <v>0</v>
      </c>
      <c r="I10" s="329">
        <v>0</v>
      </c>
      <c r="J10" s="331">
        <v>811</v>
      </c>
      <c r="K10" s="80"/>
      <c r="L10" s="80"/>
      <c r="M10" s="80"/>
    </row>
    <row r="11" spans="1:13" ht="15">
      <c r="A11" s="327">
        <v>3</v>
      </c>
      <c r="B11" s="823" t="s">
        <v>827</v>
      </c>
      <c r="C11" s="328">
        <f t="shared" si="0"/>
        <v>1449</v>
      </c>
      <c r="D11" s="329">
        <v>0</v>
      </c>
      <c r="E11" s="329">
        <v>0</v>
      </c>
      <c r="F11" s="330">
        <v>0</v>
      </c>
      <c r="G11" s="330">
        <v>0</v>
      </c>
      <c r="H11" s="329">
        <v>0</v>
      </c>
      <c r="I11" s="329">
        <v>0</v>
      </c>
      <c r="J11" s="331">
        <v>1449</v>
      </c>
      <c r="K11" s="80"/>
      <c r="L11" s="80"/>
      <c r="M11" s="80"/>
    </row>
    <row r="12" spans="1:13" ht="15">
      <c r="A12" s="327">
        <v>4</v>
      </c>
      <c r="B12" s="823" t="s">
        <v>828</v>
      </c>
      <c r="C12" s="328">
        <f t="shared" si="0"/>
        <v>1101</v>
      </c>
      <c r="D12" s="329">
        <v>0</v>
      </c>
      <c r="E12" s="329">
        <v>0</v>
      </c>
      <c r="F12" s="330">
        <v>0</v>
      </c>
      <c r="G12" s="330">
        <v>0</v>
      </c>
      <c r="H12" s="329">
        <v>0</v>
      </c>
      <c r="I12" s="329">
        <v>0</v>
      </c>
      <c r="J12" s="331">
        <v>1101</v>
      </c>
      <c r="K12" s="80"/>
      <c r="L12" s="80"/>
      <c r="M12" s="80"/>
    </row>
    <row r="13" spans="1:13" ht="15">
      <c r="A13" s="327">
        <v>5</v>
      </c>
      <c r="B13" s="823" t="s">
        <v>829</v>
      </c>
      <c r="C13" s="328">
        <f t="shared" si="0"/>
        <v>2551</v>
      </c>
      <c r="D13" s="329">
        <v>0</v>
      </c>
      <c r="E13" s="329">
        <v>0</v>
      </c>
      <c r="F13" s="330">
        <v>0</v>
      </c>
      <c r="G13" s="330">
        <v>0</v>
      </c>
      <c r="H13" s="329">
        <v>0</v>
      </c>
      <c r="I13" s="329">
        <v>0</v>
      </c>
      <c r="J13" s="331">
        <v>2551</v>
      </c>
      <c r="K13" s="80"/>
      <c r="L13" s="80"/>
      <c r="M13" s="80"/>
    </row>
    <row r="14" spans="1:13" ht="15">
      <c r="A14" s="327">
        <v>6</v>
      </c>
      <c r="B14" s="823" t="s">
        <v>830</v>
      </c>
      <c r="C14" s="328">
        <f t="shared" si="0"/>
        <v>990</v>
      </c>
      <c r="D14" s="329">
        <v>0</v>
      </c>
      <c r="E14" s="329">
        <v>0</v>
      </c>
      <c r="F14" s="330">
        <v>0</v>
      </c>
      <c r="G14" s="330">
        <v>0</v>
      </c>
      <c r="H14" s="329">
        <v>0</v>
      </c>
      <c r="I14" s="329">
        <v>0</v>
      </c>
      <c r="J14" s="331">
        <v>990</v>
      </c>
      <c r="K14" s="80"/>
      <c r="L14" s="80"/>
      <c r="M14" s="80"/>
    </row>
    <row r="15" spans="1:13" ht="15">
      <c r="A15" s="327">
        <v>7</v>
      </c>
      <c r="B15" s="823" t="s">
        <v>831</v>
      </c>
      <c r="C15" s="328">
        <f t="shared" si="0"/>
        <v>700</v>
      </c>
      <c r="D15" s="329">
        <v>0</v>
      </c>
      <c r="E15" s="329">
        <v>0</v>
      </c>
      <c r="F15" s="330">
        <v>0</v>
      </c>
      <c r="G15" s="330">
        <v>0</v>
      </c>
      <c r="H15" s="329">
        <v>0</v>
      </c>
      <c r="I15" s="329">
        <v>0</v>
      </c>
      <c r="J15" s="331">
        <v>700</v>
      </c>
      <c r="K15" s="80"/>
      <c r="L15" s="80"/>
      <c r="M15" s="80"/>
    </row>
    <row r="16" spans="1:13" ht="15">
      <c r="A16" s="327">
        <v>8</v>
      </c>
      <c r="B16" s="823" t="s">
        <v>832</v>
      </c>
      <c r="C16" s="328">
        <f t="shared" si="0"/>
        <v>995</v>
      </c>
      <c r="D16" s="329">
        <v>0</v>
      </c>
      <c r="E16" s="329">
        <v>0</v>
      </c>
      <c r="F16" s="330">
        <v>0</v>
      </c>
      <c r="G16" s="330">
        <v>56</v>
      </c>
      <c r="H16" s="329">
        <v>0</v>
      </c>
      <c r="I16" s="329">
        <v>0</v>
      </c>
      <c r="J16" s="331">
        <v>1051</v>
      </c>
      <c r="K16" s="80"/>
      <c r="L16" s="80"/>
      <c r="M16" s="80"/>
    </row>
    <row r="17" spans="1:13" ht="15">
      <c r="A17" s="327">
        <v>9</v>
      </c>
      <c r="B17" s="823" t="s">
        <v>833</v>
      </c>
      <c r="C17" s="328">
        <f t="shared" si="0"/>
        <v>1791</v>
      </c>
      <c r="D17" s="329">
        <v>0</v>
      </c>
      <c r="E17" s="329">
        <v>0</v>
      </c>
      <c r="F17" s="330">
        <v>0</v>
      </c>
      <c r="G17" s="330">
        <v>0</v>
      </c>
      <c r="H17" s="329">
        <v>0</v>
      </c>
      <c r="I17" s="329">
        <v>0</v>
      </c>
      <c r="J17" s="331">
        <v>1791</v>
      </c>
      <c r="K17" s="80"/>
      <c r="L17" s="80"/>
      <c r="M17" s="80"/>
    </row>
    <row r="18" spans="1:13" ht="15">
      <c r="A18" s="327">
        <v>10</v>
      </c>
      <c r="B18" s="823" t="s">
        <v>834</v>
      </c>
      <c r="C18" s="328">
        <f t="shared" si="0"/>
        <v>432</v>
      </c>
      <c r="D18" s="329">
        <v>0</v>
      </c>
      <c r="E18" s="329">
        <v>0</v>
      </c>
      <c r="F18" s="330">
        <v>0</v>
      </c>
      <c r="G18" s="330">
        <v>0</v>
      </c>
      <c r="H18" s="329">
        <v>0</v>
      </c>
      <c r="I18" s="329">
        <v>0</v>
      </c>
      <c r="J18" s="331">
        <v>432</v>
      </c>
      <c r="K18" s="80"/>
      <c r="L18" s="80"/>
      <c r="M18" s="80"/>
    </row>
    <row r="19" spans="1:13" ht="15">
      <c r="A19" s="327">
        <v>11</v>
      </c>
      <c r="B19" s="823" t="s">
        <v>835</v>
      </c>
      <c r="C19" s="328">
        <f t="shared" si="0"/>
        <v>199</v>
      </c>
      <c r="D19" s="329">
        <v>0</v>
      </c>
      <c r="E19" s="329">
        <v>0</v>
      </c>
      <c r="F19" s="330">
        <v>0</v>
      </c>
      <c r="G19" s="330">
        <v>430</v>
      </c>
      <c r="H19" s="329">
        <v>0</v>
      </c>
      <c r="I19" s="329">
        <v>0</v>
      </c>
      <c r="J19" s="331">
        <v>629</v>
      </c>
      <c r="K19" s="80"/>
      <c r="L19" s="80"/>
      <c r="M19" s="80"/>
    </row>
    <row r="20" spans="1:13" ht="15">
      <c r="A20" s="327">
        <v>12</v>
      </c>
      <c r="B20" s="823" t="s">
        <v>836</v>
      </c>
      <c r="C20" s="328">
        <f t="shared" si="0"/>
        <v>1459</v>
      </c>
      <c r="D20" s="329">
        <v>0</v>
      </c>
      <c r="E20" s="329">
        <v>0</v>
      </c>
      <c r="F20" s="330">
        <v>0</v>
      </c>
      <c r="G20" s="330">
        <v>0</v>
      </c>
      <c r="H20" s="329">
        <v>0</v>
      </c>
      <c r="I20" s="329">
        <v>0</v>
      </c>
      <c r="J20" s="331">
        <v>1459</v>
      </c>
      <c r="K20" s="80"/>
      <c r="L20" s="80"/>
      <c r="M20" s="80"/>
    </row>
    <row r="21" spans="1:13" ht="15">
      <c r="A21" s="327">
        <v>13</v>
      </c>
      <c r="B21" s="823" t="s">
        <v>837</v>
      </c>
      <c r="C21" s="328">
        <f t="shared" si="0"/>
        <v>1734</v>
      </c>
      <c r="D21" s="329">
        <v>0</v>
      </c>
      <c r="E21" s="329">
        <v>0</v>
      </c>
      <c r="F21" s="330">
        <v>0</v>
      </c>
      <c r="G21" s="330">
        <v>0</v>
      </c>
      <c r="H21" s="329">
        <v>0</v>
      </c>
      <c r="I21" s="329">
        <v>0</v>
      </c>
      <c r="J21" s="331">
        <v>1734</v>
      </c>
      <c r="K21" s="80"/>
      <c r="L21" s="80"/>
      <c r="M21" s="80"/>
    </row>
    <row r="22" spans="1:13" ht="15">
      <c r="A22" s="327">
        <v>14</v>
      </c>
      <c r="B22" s="823" t="s">
        <v>838</v>
      </c>
      <c r="C22" s="328">
        <f t="shared" si="0"/>
        <v>794</v>
      </c>
      <c r="D22" s="329">
        <v>0</v>
      </c>
      <c r="E22" s="329">
        <v>0</v>
      </c>
      <c r="F22" s="330">
        <v>0</v>
      </c>
      <c r="G22" s="330">
        <v>0</v>
      </c>
      <c r="H22" s="329">
        <v>0</v>
      </c>
      <c r="I22" s="329">
        <v>0</v>
      </c>
      <c r="J22" s="331">
        <v>794</v>
      </c>
      <c r="K22" s="80"/>
      <c r="L22" s="80"/>
      <c r="M22" s="80"/>
    </row>
    <row r="23" spans="1:13" ht="15">
      <c r="A23" s="327">
        <v>15</v>
      </c>
      <c r="B23" s="823" t="s">
        <v>839</v>
      </c>
      <c r="C23" s="328">
        <f t="shared" si="0"/>
        <v>824</v>
      </c>
      <c r="D23" s="329">
        <v>0</v>
      </c>
      <c r="E23" s="329">
        <v>0</v>
      </c>
      <c r="F23" s="330">
        <v>0</v>
      </c>
      <c r="G23" s="332">
        <v>0</v>
      </c>
      <c r="H23" s="329">
        <v>0</v>
      </c>
      <c r="I23" s="329">
        <v>0</v>
      </c>
      <c r="J23" s="331">
        <v>824</v>
      </c>
      <c r="K23" s="80"/>
      <c r="L23" s="80"/>
      <c r="M23" s="80"/>
    </row>
    <row r="24" spans="1:13" ht="15">
      <c r="A24" s="327">
        <v>16</v>
      </c>
      <c r="B24" s="823" t="s">
        <v>840</v>
      </c>
      <c r="C24" s="328">
        <f t="shared" si="0"/>
        <v>335</v>
      </c>
      <c r="D24" s="329">
        <v>0</v>
      </c>
      <c r="E24" s="329">
        <v>0</v>
      </c>
      <c r="F24" s="330">
        <v>0</v>
      </c>
      <c r="G24" s="332">
        <v>0</v>
      </c>
      <c r="H24" s="329">
        <v>0</v>
      </c>
      <c r="I24" s="329">
        <v>0</v>
      </c>
      <c r="J24" s="331">
        <v>335</v>
      </c>
      <c r="K24" s="80"/>
      <c r="L24" s="80"/>
      <c r="M24" s="80"/>
    </row>
    <row r="25" spans="1:13" ht="15">
      <c r="A25" s="327">
        <v>17</v>
      </c>
      <c r="B25" s="823" t="s">
        <v>841</v>
      </c>
      <c r="C25" s="328">
        <f t="shared" si="0"/>
        <v>1102</v>
      </c>
      <c r="D25" s="329">
        <v>0</v>
      </c>
      <c r="E25" s="329">
        <v>0</v>
      </c>
      <c r="F25" s="330">
        <v>0</v>
      </c>
      <c r="G25" s="332">
        <v>0</v>
      </c>
      <c r="H25" s="329">
        <v>0</v>
      </c>
      <c r="I25" s="329">
        <v>0</v>
      </c>
      <c r="J25" s="331">
        <v>1102</v>
      </c>
      <c r="L25" s="80"/>
      <c r="M25" s="80"/>
    </row>
    <row r="26" spans="1:13" ht="15">
      <c r="A26" s="327">
        <v>18</v>
      </c>
      <c r="B26" s="823" t="s">
        <v>842</v>
      </c>
      <c r="C26" s="328">
        <f t="shared" si="0"/>
        <v>855</v>
      </c>
      <c r="D26" s="329">
        <v>0</v>
      </c>
      <c r="E26" s="329">
        <v>0</v>
      </c>
      <c r="F26" s="330">
        <v>0</v>
      </c>
      <c r="G26" s="332">
        <v>0</v>
      </c>
      <c r="H26" s="329">
        <v>0</v>
      </c>
      <c r="I26" s="329">
        <v>0</v>
      </c>
      <c r="J26" s="331">
        <v>855</v>
      </c>
      <c r="K26" s="80"/>
      <c r="L26" s="80"/>
      <c r="M26" s="80"/>
    </row>
    <row r="27" spans="1:13" ht="15">
      <c r="A27" s="327">
        <v>19</v>
      </c>
      <c r="B27" s="823" t="s">
        <v>843</v>
      </c>
      <c r="C27" s="328">
        <f t="shared" si="0"/>
        <v>952</v>
      </c>
      <c r="D27" s="329">
        <v>0</v>
      </c>
      <c r="E27" s="329">
        <v>0</v>
      </c>
      <c r="F27" s="330">
        <v>0</v>
      </c>
      <c r="G27" s="332">
        <v>85</v>
      </c>
      <c r="H27" s="329">
        <v>0</v>
      </c>
      <c r="I27" s="329">
        <v>0</v>
      </c>
      <c r="J27" s="331">
        <v>1037</v>
      </c>
      <c r="K27" s="80"/>
      <c r="L27" s="80"/>
      <c r="M27" s="80"/>
    </row>
    <row r="28" spans="1:13" ht="15">
      <c r="A28" s="327">
        <v>20</v>
      </c>
      <c r="B28" s="823" t="s">
        <v>844</v>
      </c>
      <c r="C28" s="328">
        <f t="shared" si="0"/>
        <v>1317</v>
      </c>
      <c r="D28" s="329">
        <v>0</v>
      </c>
      <c r="E28" s="329">
        <v>0</v>
      </c>
      <c r="F28" s="330">
        <v>0</v>
      </c>
      <c r="G28" s="332">
        <v>0</v>
      </c>
      <c r="H28" s="329">
        <v>0</v>
      </c>
      <c r="I28" s="329">
        <v>0</v>
      </c>
      <c r="J28" s="331">
        <v>1317</v>
      </c>
      <c r="K28" s="80"/>
      <c r="L28" s="80"/>
      <c r="M28" s="80"/>
    </row>
    <row r="29" spans="1:13" ht="15">
      <c r="A29" s="327">
        <v>21</v>
      </c>
      <c r="B29" s="823" t="s">
        <v>845</v>
      </c>
      <c r="C29" s="328">
        <f t="shared" si="0"/>
        <v>1022</v>
      </c>
      <c r="D29" s="329">
        <v>0</v>
      </c>
      <c r="E29" s="329">
        <v>0</v>
      </c>
      <c r="F29" s="330">
        <v>0</v>
      </c>
      <c r="G29" s="332">
        <v>350</v>
      </c>
      <c r="H29" s="329">
        <v>0</v>
      </c>
      <c r="I29" s="329">
        <v>0</v>
      </c>
      <c r="J29" s="331">
        <v>1372</v>
      </c>
      <c r="K29" s="80"/>
      <c r="L29" s="80"/>
      <c r="M29" s="80"/>
    </row>
    <row r="30" spans="1:13" ht="15">
      <c r="A30" s="327">
        <v>22</v>
      </c>
      <c r="B30" s="823" t="s">
        <v>846</v>
      </c>
      <c r="C30" s="328">
        <f t="shared" si="0"/>
        <v>910</v>
      </c>
      <c r="D30" s="329">
        <v>0</v>
      </c>
      <c r="E30" s="329">
        <v>0</v>
      </c>
      <c r="F30" s="330">
        <v>0</v>
      </c>
      <c r="G30" s="332">
        <v>0</v>
      </c>
      <c r="H30" s="329">
        <v>0</v>
      </c>
      <c r="I30" s="329">
        <v>0</v>
      </c>
      <c r="J30" s="331">
        <v>910</v>
      </c>
    </row>
    <row r="31" spans="1:13" ht="15">
      <c r="A31" s="327">
        <v>23</v>
      </c>
      <c r="B31" s="823" t="s">
        <v>847</v>
      </c>
      <c r="C31" s="328">
        <f t="shared" si="0"/>
        <v>620</v>
      </c>
      <c r="D31" s="329">
        <v>0</v>
      </c>
      <c r="E31" s="329">
        <v>0</v>
      </c>
      <c r="F31" s="330">
        <v>0</v>
      </c>
      <c r="G31" s="332">
        <v>624</v>
      </c>
      <c r="H31" s="329">
        <v>0</v>
      </c>
      <c r="I31" s="329">
        <v>0</v>
      </c>
      <c r="J31" s="331">
        <v>1244</v>
      </c>
      <c r="K31" s="1436"/>
      <c r="L31" s="1436"/>
      <c r="M31" s="1436"/>
    </row>
    <row r="32" spans="1:13" ht="15">
      <c r="A32" s="327">
        <v>24</v>
      </c>
      <c r="B32" s="823" t="s">
        <v>848</v>
      </c>
      <c r="C32" s="328">
        <f t="shared" si="0"/>
        <v>463</v>
      </c>
      <c r="D32" s="329">
        <v>0</v>
      </c>
      <c r="E32" s="329">
        <v>0</v>
      </c>
      <c r="F32" s="330">
        <v>0</v>
      </c>
      <c r="G32" s="332">
        <v>545</v>
      </c>
      <c r="H32" s="329">
        <v>0</v>
      </c>
      <c r="I32" s="329">
        <v>0</v>
      </c>
      <c r="J32" s="331">
        <v>1008</v>
      </c>
      <c r="K32" s="80"/>
      <c r="L32" s="80"/>
      <c r="M32" s="80"/>
    </row>
    <row r="33" spans="1:13" ht="15">
      <c r="A33" s="327">
        <v>25</v>
      </c>
      <c r="B33" s="823" t="s">
        <v>849</v>
      </c>
      <c r="C33" s="328">
        <f t="shared" si="0"/>
        <v>31</v>
      </c>
      <c r="D33" s="329">
        <v>0</v>
      </c>
      <c r="E33" s="329">
        <v>0</v>
      </c>
      <c r="F33" s="330">
        <v>0</v>
      </c>
      <c r="G33" s="332">
        <v>740</v>
      </c>
      <c r="H33" s="329">
        <v>0</v>
      </c>
      <c r="I33" s="329">
        <v>0</v>
      </c>
      <c r="J33" s="331">
        <v>771</v>
      </c>
      <c r="K33" s="80"/>
      <c r="L33" s="80"/>
      <c r="M33" s="80"/>
    </row>
    <row r="34" spans="1:13" ht="15">
      <c r="A34" s="327">
        <v>26</v>
      </c>
      <c r="B34" s="823" t="s">
        <v>850</v>
      </c>
      <c r="C34" s="328">
        <f t="shared" si="0"/>
        <v>819</v>
      </c>
      <c r="D34" s="329">
        <v>0</v>
      </c>
      <c r="E34" s="329">
        <v>0</v>
      </c>
      <c r="F34" s="330">
        <v>0</v>
      </c>
      <c r="G34" s="332">
        <v>0</v>
      </c>
      <c r="H34" s="329">
        <v>0</v>
      </c>
      <c r="I34" s="329">
        <v>0</v>
      </c>
      <c r="J34" s="331">
        <v>819</v>
      </c>
      <c r="K34" s="80"/>
      <c r="L34" s="80"/>
      <c r="M34" s="80"/>
    </row>
    <row r="35" spans="1:13" ht="15.75">
      <c r="A35" s="327">
        <v>27</v>
      </c>
      <c r="B35" s="823" t="s">
        <v>851</v>
      </c>
      <c r="C35" s="328">
        <f t="shared" si="0"/>
        <v>1281</v>
      </c>
      <c r="D35" s="329">
        <v>0</v>
      </c>
      <c r="E35" s="329">
        <v>0</v>
      </c>
      <c r="F35" s="330">
        <v>0</v>
      </c>
      <c r="G35" s="332">
        <v>0</v>
      </c>
      <c r="H35" s="329">
        <v>0</v>
      </c>
      <c r="I35" s="329">
        <v>0</v>
      </c>
      <c r="J35" s="331">
        <v>1281</v>
      </c>
      <c r="K35" s="125"/>
      <c r="L35" s="80"/>
      <c r="M35" s="80"/>
    </row>
    <row r="36" spans="1:13" ht="15.75" customHeight="1">
      <c r="A36" s="327">
        <v>28</v>
      </c>
      <c r="B36" s="823" t="s">
        <v>852</v>
      </c>
      <c r="C36" s="328">
        <f t="shared" si="0"/>
        <v>261</v>
      </c>
      <c r="D36" s="329">
        <v>0</v>
      </c>
      <c r="E36" s="329">
        <v>0</v>
      </c>
      <c r="F36" s="330">
        <v>0</v>
      </c>
      <c r="G36" s="332">
        <v>0</v>
      </c>
      <c r="H36" s="329">
        <v>0</v>
      </c>
      <c r="I36" s="329">
        <v>0</v>
      </c>
      <c r="J36" s="331">
        <v>261</v>
      </c>
      <c r="K36" s="80"/>
      <c r="L36" s="80"/>
      <c r="M36" s="80"/>
    </row>
    <row r="37" spans="1:13" ht="15.75" customHeight="1">
      <c r="A37" s="327">
        <v>29</v>
      </c>
      <c r="B37" s="823" t="s">
        <v>853</v>
      </c>
      <c r="C37" s="328">
        <f t="shared" si="0"/>
        <v>1293</v>
      </c>
      <c r="D37" s="329">
        <v>0</v>
      </c>
      <c r="E37" s="329">
        <v>0</v>
      </c>
      <c r="F37" s="330">
        <v>0</v>
      </c>
      <c r="G37" s="332">
        <v>0</v>
      </c>
      <c r="H37" s="329">
        <v>0</v>
      </c>
      <c r="I37" s="329">
        <v>0</v>
      </c>
      <c r="J37" s="331">
        <v>1293</v>
      </c>
      <c r="K37" s="125"/>
      <c r="L37" s="80"/>
      <c r="M37" s="80"/>
    </row>
    <row r="38" spans="1:13" ht="15">
      <c r="A38" s="327">
        <v>30</v>
      </c>
      <c r="B38" s="823" t="s">
        <v>854</v>
      </c>
      <c r="C38" s="328">
        <f t="shared" si="0"/>
        <v>661</v>
      </c>
      <c r="D38" s="329">
        <v>0</v>
      </c>
      <c r="E38" s="329">
        <v>0</v>
      </c>
      <c r="F38" s="330">
        <v>0</v>
      </c>
      <c r="G38" s="332">
        <v>0</v>
      </c>
      <c r="H38" s="329">
        <v>0</v>
      </c>
      <c r="I38" s="329">
        <v>0</v>
      </c>
      <c r="J38" s="331">
        <v>661</v>
      </c>
      <c r="K38" s="33"/>
      <c r="L38" s="33"/>
      <c r="M38" s="80"/>
    </row>
    <row r="39" spans="1:13" ht="15">
      <c r="A39" s="327">
        <v>31</v>
      </c>
      <c r="B39" s="823" t="s">
        <v>855</v>
      </c>
      <c r="C39" s="328">
        <f t="shared" si="0"/>
        <v>594</v>
      </c>
      <c r="D39" s="329">
        <v>0</v>
      </c>
      <c r="E39" s="329">
        <v>0</v>
      </c>
      <c r="F39" s="330">
        <v>0</v>
      </c>
      <c r="G39" s="332">
        <v>0</v>
      </c>
      <c r="H39" s="329">
        <v>0</v>
      </c>
      <c r="I39" s="329">
        <v>0</v>
      </c>
      <c r="J39" s="331">
        <v>594</v>
      </c>
      <c r="K39" s="80"/>
      <c r="L39" s="80"/>
      <c r="M39" s="80"/>
    </row>
    <row r="40" spans="1:13" ht="15">
      <c r="A40" s="327">
        <v>32</v>
      </c>
      <c r="B40" s="823" t="s">
        <v>856</v>
      </c>
      <c r="C40" s="328">
        <f t="shared" si="0"/>
        <v>1241</v>
      </c>
      <c r="D40" s="329">
        <v>0</v>
      </c>
      <c r="E40" s="329">
        <v>0</v>
      </c>
      <c r="F40" s="330">
        <v>0</v>
      </c>
      <c r="G40" s="332">
        <v>0</v>
      </c>
      <c r="H40" s="329">
        <v>0</v>
      </c>
      <c r="I40" s="329">
        <v>0</v>
      </c>
      <c r="J40" s="331">
        <v>1241</v>
      </c>
    </row>
    <row r="41" spans="1:13" ht="15">
      <c r="A41" s="327">
        <v>33</v>
      </c>
      <c r="B41" s="823" t="s">
        <v>857</v>
      </c>
      <c r="C41" s="328">
        <f t="shared" si="0"/>
        <v>595</v>
      </c>
      <c r="D41" s="329">
        <v>0</v>
      </c>
      <c r="E41" s="329">
        <v>0</v>
      </c>
      <c r="F41" s="330">
        <v>0</v>
      </c>
      <c r="G41" s="332">
        <v>0</v>
      </c>
      <c r="H41" s="329">
        <v>0</v>
      </c>
      <c r="I41" s="329">
        <v>0</v>
      </c>
      <c r="J41" s="331">
        <v>595</v>
      </c>
    </row>
    <row r="42" spans="1:13" ht="15">
      <c r="A42" s="322" t="s">
        <v>18</v>
      </c>
      <c r="B42" s="817"/>
      <c r="C42" s="328">
        <f t="shared" si="0"/>
        <v>30980</v>
      </c>
      <c r="D42" s="326">
        <f t="shared" ref="D42:I42" si="1">SUM(D9:D41)</f>
        <v>0</v>
      </c>
      <c r="E42" s="322">
        <f t="shared" si="1"/>
        <v>0</v>
      </c>
      <c r="F42" s="322">
        <f t="shared" si="1"/>
        <v>0</v>
      </c>
      <c r="G42" s="322">
        <f t="shared" si="1"/>
        <v>3327</v>
      </c>
      <c r="H42" s="322">
        <f t="shared" si="1"/>
        <v>0</v>
      </c>
      <c r="I42" s="322">
        <f t="shared" si="1"/>
        <v>0</v>
      </c>
      <c r="J42" s="326">
        <f>SUM(J9:J41)</f>
        <v>34307</v>
      </c>
    </row>
    <row r="43" spans="1:13">
      <c r="A43" s="89"/>
      <c r="B43" s="814"/>
      <c r="C43" s="80"/>
      <c r="D43" s="80"/>
      <c r="E43" s="80"/>
      <c r="F43" s="80"/>
      <c r="G43" s="80"/>
      <c r="H43" s="80"/>
      <c r="I43" s="80"/>
      <c r="J43" s="80"/>
    </row>
    <row r="44" spans="1:13">
      <c r="A44" s="80"/>
      <c r="B44" s="814"/>
      <c r="C44" s="80"/>
      <c r="D44" s="80"/>
      <c r="E44" s="80"/>
      <c r="F44" s="80"/>
      <c r="G44" s="80"/>
      <c r="H44" s="80"/>
      <c r="I44" s="80"/>
      <c r="J44" s="80"/>
    </row>
    <row r="45" spans="1:13">
      <c r="A45" s="80" t="s">
        <v>122</v>
      </c>
      <c r="B45" s="814"/>
      <c r="C45" s="80"/>
      <c r="D45" s="80"/>
      <c r="E45" s="80"/>
      <c r="F45" s="80"/>
      <c r="G45" s="80"/>
      <c r="H45" s="80"/>
      <c r="I45" s="80"/>
      <c r="J45" s="80"/>
    </row>
    <row r="46" spans="1:13">
      <c r="A46" s="80" t="s">
        <v>201</v>
      </c>
      <c r="B46" s="814"/>
      <c r="C46" s="80"/>
      <c r="D46" s="80"/>
      <c r="E46" s="80"/>
      <c r="F46" s="80"/>
      <c r="G46" s="80"/>
      <c r="H46" s="80"/>
      <c r="I46" s="80"/>
      <c r="J46" s="80"/>
    </row>
    <row r="47" spans="1:13">
      <c r="A47" t="s">
        <v>123</v>
      </c>
    </row>
    <row r="48" spans="1:13">
      <c r="A48" s="1436" t="s">
        <v>124</v>
      </c>
      <c r="B48" s="1436"/>
      <c r="C48" s="1436"/>
      <c r="D48" s="1436"/>
      <c r="E48" s="1436"/>
      <c r="F48" s="1436"/>
      <c r="G48" s="1436"/>
      <c r="H48" s="1436"/>
      <c r="I48" s="1436"/>
      <c r="J48" s="1436"/>
    </row>
    <row r="49" spans="1:11">
      <c r="A49" s="1437" t="s">
        <v>125</v>
      </c>
      <c r="B49" s="1437"/>
      <c r="C49" s="1437"/>
      <c r="D49" s="1437"/>
      <c r="E49" s="80"/>
      <c r="F49" s="80"/>
      <c r="G49" s="80"/>
      <c r="H49" s="80"/>
      <c r="I49" s="80"/>
      <c r="J49" s="80"/>
    </row>
    <row r="50" spans="1:11">
      <c r="A50" s="124" t="s">
        <v>169</v>
      </c>
      <c r="B50" s="814"/>
      <c r="C50" s="124"/>
      <c r="D50" s="124"/>
      <c r="E50" s="80"/>
      <c r="F50" s="80"/>
      <c r="G50" s="80"/>
      <c r="H50" s="80"/>
      <c r="I50" s="80"/>
      <c r="J50" s="80"/>
    </row>
    <row r="51" spans="1:11">
      <c r="A51" s="124"/>
      <c r="B51" s="814"/>
      <c r="C51" s="124"/>
      <c r="D51" s="124"/>
      <c r="E51" s="80"/>
      <c r="F51" s="80"/>
      <c r="G51" s="80"/>
      <c r="H51" s="80"/>
      <c r="I51" s="80"/>
      <c r="J51" s="80"/>
    </row>
    <row r="52" spans="1:11" s="994" customFormat="1" ht="15.75" customHeight="1">
      <c r="A52" s="15" t="s">
        <v>12</v>
      </c>
      <c r="B52" s="15"/>
      <c r="C52" s="15"/>
      <c r="H52" s="1040" t="s">
        <v>1106</v>
      </c>
      <c r="I52" s="1040"/>
    </row>
    <row r="53" spans="1:11" s="994" customFormat="1" ht="15.6" customHeight="1">
      <c r="H53" s="1040" t="s">
        <v>481</v>
      </c>
      <c r="I53" s="1040"/>
      <c r="K53" s="998"/>
    </row>
    <row r="54" spans="1:11" s="994" customFormat="1" ht="15.6" customHeight="1">
      <c r="H54" s="1040" t="s">
        <v>1107</v>
      </c>
      <c r="I54" s="1040"/>
      <c r="K54" s="998"/>
    </row>
    <row r="55" spans="1:11" ht="18" customHeight="1">
      <c r="A55" s="430"/>
      <c r="B55" s="430"/>
      <c r="C55" s="430"/>
      <c r="D55" s="430"/>
      <c r="G55" s="430"/>
      <c r="I55" s="80"/>
      <c r="J55" s="80"/>
      <c r="K55" s="998"/>
    </row>
    <row r="56" spans="1:11">
      <c r="A56" s="1431"/>
      <c r="B56" s="1431"/>
      <c r="C56" s="1431"/>
      <c r="D56" s="1431"/>
      <c r="E56" s="1431"/>
      <c r="F56" s="1431"/>
      <c r="G56" s="1431"/>
      <c r="H56" s="1431"/>
      <c r="I56" s="1431"/>
      <c r="J56" s="1431"/>
    </row>
  </sheetData>
  <mergeCells count="17">
    <mergeCell ref="K31:M31"/>
    <mergeCell ref="A6:A7"/>
    <mergeCell ref="B6:B7"/>
    <mergeCell ref="C6:J6"/>
    <mergeCell ref="C3:I3"/>
    <mergeCell ref="D1:E1"/>
    <mergeCell ref="G1:J1"/>
    <mergeCell ref="A2:J2"/>
    <mergeCell ref="A4:J4"/>
    <mergeCell ref="A5:B5"/>
    <mergeCell ref="A56:J56"/>
    <mergeCell ref="A48:D48"/>
    <mergeCell ref="E48:J48"/>
    <mergeCell ref="A49:D49"/>
    <mergeCell ref="H52:I52"/>
    <mergeCell ref="H53:I53"/>
    <mergeCell ref="H54:I54"/>
  </mergeCells>
  <phoneticPr fontId="0" type="noConversion"/>
  <printOptions horizontalCentered="1"/>
  <pageMargins left="0.70866141732283472" right="0.70866141732283472" top="0.63" bottom="0" header="0.79" footer="0.31496062992125984"/>
  <pageSetup paperSize="9" scale="92"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Z47"/>
  <sheetViews>
    <sheetView topLeftCell="A41" zoomScale="80" zoomScaleNormal="80" zoomScaleSheetLayoutView="76" workbookViewId="0">
      <selection activeCell="E13" sqref="E13"/>
    </sheetView>
  </sheetViews>
  <sheetFormatPr defaultColWidth="9.140625" defaultRowHeight="12.75"/>
  <cols>
    <col min="1" max="1" width="6.140625" style="338" customWidth="1"/>
    <col min="2" max="2" width="17" style="356" customWidth="1"/>
    <col min="3" max="3" width="11.5703125" style="338" customWidth="1"/>
    <col min="4" max="4" width="13.28515625" style="338" customWidth="1"/>
    <col min="5" max="5" width="14.28515625" style="338" customWidth="1"/>
    <col min="6" max="6" width="17.42578125" style="338" bestFit="1" customWidth="1"/>
    <col min="7" max="7" width="17" style="338" customWidth="1"/>
    <col min="8" max="8" width="17" style="357" customWidth="1"/>
    <col min="9" max="9" width="17" style="338" customWidth="1"/>
    <col min="10" max="10" width="15.140625" style="338" customWidth="1"/>
    <col min="11" max="11" width="15.85546875" style="338" customWidth="1"/>
    <col min="12" max="12" width="15.42578125" style="338" customWidth="1"/>
    <col min="13" max="13" width="14.5703125" style="338" customWidth="1"/>
    <col min="14" max="14" width="12.28515625" style="338" customWidth="1"/>
    <col min="15" max="15" width="12.7109375" style="338" customWidth="1"/>
    <col min="16" max="16" width="16.140625" style="338" customWidth="1"/>
    <col min="17" max="16384" width="9.140625" style="338"/>
  </cols>
  <sheetData>
    <row r="1" spans="1:26" ht="15">
      <c r="A1" s="333"/>
      <c r="B1" s="334"/>
      <c r="C1" s="333"/>
      <c r="D1" s="333"/>
      <c r="E1" s="333"/>
      <c r="F1" s="333"/>
      <c r="G1" s="333"/>
      <c r="H1" s="335"/>
      <c r="I1" s="333"/>
      <c r="J1" s="333"/>
      <c r="K1" s="333"/>
      <c r="L1" s="1453" t="s">
        <v>544</v>
      </c>
      <c r="M1" s="1453"/>
      <c r="N1" s="336"/>
      <c r="O1" s="337"/>
      <c r="P1" s="337"/>
    </row>
    <row r="2" spans="1:26" ht="15">
      <c r="A2" s="1454" t="s">
        <v>0</v>
      </c>
      <c r="B2" s="1454"/>
      <c r="C2" s="1454"/>
      <c r="D2" s="1454"/>
      <c r="E2" s="1454"/>
      <c r="F2" s="1454"/>
      <c r="G2" s="1454"/>
      <c r="H2" s="1454"/>
      <c r="I2" s="1454"/>
      <c r="J2" s="1454"/>
      <c r="K2" s="1454"/>
      <c r="L2" s="1454"/>
      <c r="M2" s="1454"/>
      <c r="N2" s="337"/>
      <c r="O2" s="337"/>
      <c r="P2" s="337"/>
    </row>
    <row r="3" spans="1:26" ht="15">
      <c r="A3" s="1454" t="s">
        <v>636</v>
      </c>
      <c r="B3" s="1454"/>
      <c r="C3" s="1454"/>
      <c r="D3" s="1454"/>
      <c r="E3" s="1454"/>
      <c r="F3" s="1454"/>
      <c r="G3" s="1454"/>
      <c r="H3" s="1454"/>
      <c r="I3" s="1454"/>
      <c r="J3" s="1454"/>
      <c r="K3" s="1454"/>
      <c r="L3" s="1454"/>
      <c r="M3" s="1454"/>
      <c r="N3" s="337"/>
      <c r="O3" s="337"/>
      <c r="P3" s="337"/>
    </row>
    <row r="4" spans="1:26" ht="15">
      <c r="A4" s="1455" t="s">
        <v>543</v>
      </c>
      <c r="B4" s="1455"/>
      <c r="C4" s="1455"/>
      <c r="D4" s="1455"/>
      <c r="E4" s="1455"/>
      <c r="F4" s="1455"/>
      <c r="G4" s="1455"/>
      <c r="H4" s="1455"/>
      <c r="I4" s="1455"/>
      <c r="J4" s="1455"/>
      <c r="K4" s="1455"/>
      <c r="L4" s="1455"/>
      <c r="M4" s="1455"/>
      <c r="N4" s="337"/>
      <c r="O4" s="337"/>
      <c r="P4" s="337"/>
    </row>
    <row r="5" spans="1:26" ht="15">
      <c r="A5" s="1126" t="s">
        <v>905</v>
      </c>
      <c r="B5" s="1126"/>
      <c r="C5" s="339"/>
      <c r="D5" s="339"/>
      <c r="E5" s="339"/>
      <c r="F5" s="333"/>
      <c r="G5" s="333"/>
      <c r="H5" s="335"/>
      <c r="I5" s="333"/>
      <c r="J5" s="333"/>
      <c r="K5" s="333"/>
      <c r="L5" s="333"/>
      <c r="M5" s="333"/>
      <c r="N5" s="337"/>
      <c r="O5" s="337"/>
      <c r="P5" s="337"/>
    </row>
    <row r="6" spans="1:26" ht="19.899999999999999" customHeight="1">
      <c r="A6" s="1448" t="s">
        <v>2</v>
      </c>
      <c r="B6" s="1448" t="s">
        <v>3</v>
      </c>
      <c r="C6" s="1450" t="s">
        <v>120</v>
      </c>
      <c r="D6" s="1450"/>
      <c r="E6" s="1451"/>
      <c r="F6" s="1449" t="s">
        <v>121</v>
      </c>
      <c r="G6" s="1450"/>
      <c r="H6" s="1450"/>
      <c r="I6" s="1451"/>
      <c r="J6" s="1449" t="s">
        <v>199</v>
      </c>
      <c r="K6" s="1450"/>
      <c r="L6" s="1450"/>
      <c r="M6" s="1451"/>
      <c r="Y6" s="341"/>
      <c r="Z6" s="342"/>
    </row>
    <row r="7" spans="1:26" ht="45.75" customHeight="1">
      <c r="A7" s="1448"/>
      <c r="B7" s="1448"/>
      <c r="C7" s="343" t="s">
        <v>386</v>
      </c>
      <c r="D7" s="344" t="s">
        <v>383</v>
      </c>
      <c r="E7" s="343" t="s">
        <v>202</v>
      </c>
      <c r="F7" s="344" t="s">
        <v>381</v>
      </c>
      <c r="G7" s="343" t="s">
        <v>382</v>
      </c>
      <c r="H7" s="345" t="s">
        <v>383</v>
      </c>
      <c r="I7" s="343" t="s">
        <v>202</v>
      </c>
      <c r="J7" s="344" t="s">
        <v>385</v>
      </c>
      <c r="K7" s="343" t="s">
        <v>382</v>
      </c>
      <c r="L7" s="344" t="s">
        <v>383</v>
      </c>
      <c r="M7" s="329" t="s">
        <v>202</v>
      </c>
    </row>
    <row r="8" spans="1:26" s="279" customFormat="1" ht="15">
      <c r="A8" s="340">
        <v>1</v>
      </c>
      <c r="B8" s="340">
        <v>2</v>
      </c>
      <c r="C8" s="340">
        <v>3</v>
      </c>
      <c r="D8" s="340">
        <v>4</v>
      </c>
      <c r="E8" s="340">
        <v>5</v>
      </c>
      <c r="F8" s="340">
        <v>6</v>
      </c>
      <c r="G8" s="340">
        <v>7</v>
      </c>
      <c r="H8" s="346">
        <v>8</v>
      </c>
      <c r="I8" s="340">
        <v>9</v>
      </c>
      <c r="J8" s="340">
        <v>10</v>
      </c>
      <c r="K8" s="340">
        <v>11</v>
      </c>
      <c r="L8" s="340">
        <v>12</v>
      </c>
      <c r="M8" s="340">
        <v>13</v>
      </c>
    </row>
    <row r="9" spans="1:26" ht="28.5">
      <c r="A9" s="321">
        <v>1</v>
      </c>
      <c r="B9" s="347" t="s">
        <v>825</v>
      </c>
      <c r="C9" s="348"/>
      <c r="D9" s="349"/>
      <c r="E9" s="349"/>
      <c r="F9" s="348" t="s">
        <v>906</v>
      </c>
      <c r="G9" s="349">
        <v>2</v>
      </c>
      <c r="H9" s="350">
        <v>497</v>
      </c>
      <c r="I9" s="349">
        <v>110540</v>
      </c>
      <c r="J9" s="323"/>
      <c r="K9" s="327"/>
      <c r="L9" s="327"/>
      <c r="M9" s="327"/>
    </row>
    <row r="10" spans="1:26" ht="15">
      <c r="A10" s="321">
        <v>2</v>
      </c>
      <c r="B10" s="347" t="s">
        <v>826</v>
      </c>
      <c r="C10" s="349"/>
      <c r="D10" s="349"/>
      <c r="E10" s="349"/>
      <c r="F10" s="349"/>
      <c r="G10" s="349">
        <v>0</v>
      </c>
      <c r="H10" s="350">
        <v>0</v>
      </c>
      <c r="I10" s="349">
        <v>0</v>
      </c>
      <c r="J10" s="323"/>
      <c r="K10" s="327"/>
      <c r="L10" s="327"/>
      <c r="M10" s="327"/>
    </row>
    <row r="11" spans="1:26" ht="15">
      <c r="A11" s="321">
        <v>3</v>
      </c>
      <c r="B11" s="347" t="s">
        <v>827</v>
      </c>
      <c r="C11" s="349"/>
      <c r="D11" s="349"/>
      <c r="E11" s="349"/>
      <c r="F11" s="349"/>
      <c r="G11" s="349">
        <v>0</v>
      </c>
      <c r="H11" s="350">
        <v>0</v>
      </c>
      <c r="I11" s="349">
        <v>0</v>
      </c>
      <c r="J11" s="323"/>
      <c r="K11" s="327"/>
      <c r="L11" s="327"/>
      <c r="M11" s="327"/>
    </row>
    <row r="12" spans="1:26" ht="15">
      <c r="A12" s="321">
        <v>4</v>
      </c>
      <c r="B12" s="347" t="s">
        <v>828</v>
      </c>
      <c r="C12" s="349"/>
      <c r="D12" s="349"/>
      <c r="E12" s="349"/>
      <c r="F12" s="349"/>
      <c r="G12" s="349">
        <v>0</v>
      </c>
      <c r="H12" s="350">
        <v>0</v>
      </c>
      <c r="I12" s="349">
        <v>0</v>
      </c>
      <c r="J12" s="323"/>
      <c r="K12" s="327"/>
      <c r="L12" s="327"/>
      <c r="M12" s="327"/>
    </row>
    <row r="13" spans="1:26" ht="15">
      <c r="A13" s="321">
        <v>5</v>
      </c>
      <c r="B13" s="347" t="s">
        <v>829</v>
      </c>
      <c r="C13" s="349"/>
      <c r="D13" s="349"/>
      <c r="E13" s="349"/>
      <c r="F13" s="349"/>
      <c r="G13" s="349">
        <v>0</v>
      </c>
      <c r="H13" s="350">
        <v>0</v>
      </c>
      <c r="I13" s="349">
        <v>0</v>
      </c>
      <c r="J13" s="323"/>
      <c r="K13" s="327"/>
      <c r="L13" s="327"/>
      <c r="M13" s="327"/>
    </row>
    <row r="14" spans="1:26" ht="15">
      <c r="A14" s="321">
        <v>6</v>
      </c>
      <c r="B14" s="347" t="s">
        <v>830</v>
      </c>
      <c r="C14" s="349"/>
      <c r="D14" s="349"/>
      <c r="E14" s="349"/>
      <c r="F14" s="349"/>
      <c r="G14" s="349">
        <v>0</v>
      </c>
      <c r="H14" s="350">
        <v>0</v>
      </c>
      <c r="I14" s="349">
        <v>0</v>
      </c>
      <c r="J14" s="323"/>
      <c r="K14" s="327"/>
      <c r="L14" s="327"/>
      <c r="M14" s="327"/>
    </row>
    <row r="15" spans="1:26" ht="15">
      <c r="A15" s="321">
        <v>7</v>
      </c>
      <c r="B15" s="347" t="s">
        <v>831</v>
      </c>
      <c r="C15" s="349"/>
      <c r="D15" s="349"/>
      <c r="E15" s="349"/>
      <c r="F15" s="349"/>
      <c r="G15" s="349">
        <v>0</v>
      </c>
      <c r="H15" s="350">
        <v>0</v>
      </c>
      <c r="I15" s="349">
        <v>0</v>
      </c>
      <c r="J15" s="323"/>
      <c r="K15" s="327"/>
      <c r="L15" s="327"/>
      <c r="M15" s="327"/>
    </row>
    <row r="16" spans="1:26" ht="15">
      <c r="A16" s="321">
        <v>8</v>
      </c>
      <c r="B16" s="347" t="s">
        <v>832</v>
      </c>
      <c r="C16" s="349"/>
      <c r="D16" s="349"/>
      <c r="E16" s="349"/>
      <c r="F16" s="349" t="s">
        <v>907</v>
      </c>
      <c r="G16" s="349">
        <v>1</v>
      </c>
      <c r="H16" s="350">
        <v>56</v>
      </c>
      <c r="I16" s="349">
        <v>13335</v>
      </c>
      <c r="J16" s="323"/>
      <c r="K16" s="327"/>
      <c r="L16" s="327"/>
      <c r="M16" s="327"/>
    </row>
    <row r="17" spans="1:16" ht="15">
      <c r="A17" s="321">
        <v>9</v>
      </c>
      <c r="B17" s="347" t="s">
        <v>833</v>
      </c>
      <c r="C17" s="349"/>
      <c r="D17" s="349"/>
      <c r="E17" s="349"/>
      <c r="F17" s="349"/>
      <c r="G17" s="349">
        <v>0</v>
      </c>
      <c r="H17" s="350">
        <v>0</v>
      </c>
      <c r="I17" s="349">
        <v>0</v>
      </c>
      <c r="J17" s="323"/>
      <c r="K17" s="327"/>
      <c r="L17" s="327"/>
      <c r="M17" s="327"/>
    </row>
    <row r="18" spans="1:16" ht="15">
      <c r="A18" s="321">
        <v>10</v>
      </c>
      <c r="B18" s="347" t="s">
        <v>834</v>
      </c>
      <c r="C18" s="349"/>
      <c r="D18" s="349"/>
      <c r="E18" s="349"/>
      <c r="F18" s="349"/>
      <c r="G18" s="349">
        <v>0</v>
      </c>
      <c r="H18" s="350">
        <v>0</v>
      </c>
      <c r="I18" s="349">
        <v>0</v>
      </c>
      <c r="J18" s="323"/>
      <c r="K18" s="327"/>
      <c r="L18" s="327"/>
      <c r="M18" s="327"/>
    </row>
    <row r="19" spans="1:16" ht="15">
      <c r="A19" s="321">
        <v>11</v>
      </c>
      <c r="B19" s="347" t="s">
        <v>835</v>
      </c>
      <c r="C19" s="349"/>
      <c r="D19" s="349"/>
      <c r="E19" s="349"/>
      <c r="F19" s="349" t="s">
        <v>907</v>
      </c>
      <c r="G19" s="349">
        <v>1</v>
      </c>
      <c r="H19" s="350">
        <v>430</v>
      </c>
      <c r="I19" s="349">
        <v>79158</v>
      </c>
      <c r="J19" s="323"/>
      <c r="K19" s="327"/>
      <c r="L19" s="327"/>
      <c r="M19" s="327"/>
    </row>
    <row r="20" spans="1:16" ht="15">
      <c r="A20" s="321">
        <v>12</v>
      </c>
      <c r="B20" s="347" t="s">
        <v>836</v>
      </c>
      <c r="C20" s="349"/>
      <c r="D20" s="349"/>
      <c r="E20" s="349"/>
      <c r="F20" s="349"/>
      <c r="G20" s="349">
        <v>0</v>
      </c>
      <c r="H20" s="350">
        <v>0</v>
      </c>
      <c r="I20" s="349">
        <v>0</v>
      </c>
      <c r="J20" s="323"/>
      <c r="K20" s="327"/>
      <c r="L20" s="327"/>
      <c r="M20" s="327"/>
    </row>
    <row r="21" spans="1:16" ht="15">
      <c r="A21" s="321">
        <v>13</v>
      </c>
      <c r="B21" s="347" t="s">
        <v>837</v>
      </c>
      <c r="C21" s="349"/>
      <c r="D21" s="349"/>
      <c r="E21" s="349"/>
      <c r="F21" s="349"/>
      <c r="G21" s="349">
        <v>0</v>
      </c>
      <c r="H21" s="350">
        <v>0</v>
      </c>
      <c r="I21" s="349">
        <v>0</v>
      </c>
      <c r="J21" s="323"/>
      <c r="K21" s="327"/>
      <c r="L21" s="327"/>
      <c r="M21" s="327"/>
    </row>
    <row r="22" spans="1:16" ht="15">
      <c r="A22" s="321">
        <v>14</v>
      </c>
      <c r="B22" s="347" t="s">
        <v>838</v>
      </c>
      <c r="C22" s="349"/>
      <c r="D22" s="349"/>
      <c r="E22" s="349"/>
      <c r="F22" s="349"/>
      <c r="G22" s="349">
        <v>0</v>
      </c>
      <c r="H22" s="350">
        <v>0</v>
      </c>
      <c r="I22" s="349">
        <v>0</v>
      </c>
      <c r="J22" s="323"/>
      <c r="K22" s="327"/>
      <c r="L22" s="327"/>
      <c r="M22" s="327"/>
    </row>
    <row r="23" spans="1:16" ht="14.25">
      <c r="A23" s="321">
        <v>15</v>
      </c>
      <c r="B23" s="347" t="s">
        <v>839</v>
      </c>
      <c r="C23" s="349"/>
      <c r="D23" s="349"/>
      <c r="E23" s="349"/>
      <c r="F23" s="349"/>
      <c r="G23" s="349">
        <v>0</v>
      </c>
      <c r="H23" s="350">
        <v>0</v>
      </c>
      <c r="I23" s="349">
        <v>0</v>
      </c>
      <c r="J23" s="323"/>
      <c r="K23" s="321"/>
      <c r="L23" s="321"/>
      <c r="M23" s="321"/>
    </row>
    <row r="24" spans="1:16" ht="14.25">
      <c r="A24" s="321">
        <v>16</v>
      </c>
      <c r="B24" s="347" t="s">
        <v>840</v>
      </c>
      <c r="C24" s="349"/>
      <c r="D24" s="349"/>
      <c r="E24" s="349"/>
      <c r="F24" s="349"/>
      <c r="G24" s="349">
        <v>0</v>
      </c>
      <c r="H24" s="350">
        <v>0</v>
      </c>
      <c r="I24" s="349">
        <v>0</v>
      </c>
      <c r="J24" s="323"/>
      <c r="K24" s="321"/>
      <c r="L24" s="321"/>
      <c r="M24" s="321"/>
    </row>
    <row r="25" spans="1:16" ht="14.25">
      <c r="A25" s="321">
        <v>17</v>
      </c>
      <c r="B25" s="347" t="s">
        <v>841</v>
      </c>
      <c r="C25" s="349"/>
      <c r="D25" s="349"/>
      <c r="E25" s="349"/>
      <c r="F25" s="349"/>
      <c r="G25" s="349">
        <v>0</v>
      </c>
      <c r="H25" s="350">
        <v>0</v>
      </c>
      <c r="I25" s="349">
        <v>0</v>
      </c>
      <c r="J25" s="323"/>
      <c r="K25" s="321"/>
      <c r="L25" s="321"/>
      <c r="M25" s="321"/>
    </row>
    <row r="26" spans="1:16" ht="14.25">
      <c r="A26" s="321">
        <v>18</v>
      </c>
      <c r="B26" s="347" t="s">
        <v>842</v>
      </c>
      <c r="C26" s="349"/>
      <c r="D26" s="349"/>
      <c r="E26" s="349"/>
      <c r="F26" s="349"/>
      <c r="G26" s="349">
        <v>0</v>
      </c>
      <c r="H26" s="350">
        <v>0</v>
      </c>
      <c r="I26" s="349">
        <v>0</v>
      </c>
      <c r="J26" s="323"/>
      <c r="K26" s="321"/>
      <c r="L26" s="321"/>
      <c r="M26" s="321"/>
      <c r="N26" s="337"/>
      <c r="O26" s="337"/>
      <c r="P26" s="337"/>
    </row>
    <row r="27" spans="1:16" ht="14.25">
      <c r="A27" s="321">
        <v>19</v>
      </c>
      <c r="B27" s="347" t="s">
        <v>843</v>
      </c>
      <c r="C27" s="349"/>
      <c r="D27" s="349"/>
      <c r="E27" s="349"/>
      <c r="F27" s="349" t="s">
        <v>908</v>
      </c>
      <c r="G27" s="349">
        <v>1</v>
      </c>
      <c r="H27" s="350">
        <v>85</v>
      </c>
      <c r="I27" s="349">
        <v>21000</v>
      </c>
      <c r="J27" s="323"/>
      <c r="K27" s="321"/>
      <c r="L27" s="321"/>
      <c r="M27" s="321"/>
      <c r="N27" s="337"/>
      <c r="O27" s="337"/>
      <c r="P27" s="337"/>
    </row>
    <row r="28" spans="1:16" ht="14.25">
      <c r="A28" s="321">
        <v>20</v>
      </c>
      <c r="B28" s="347" t="s">
        <v>844</v>
      </c>
      <c r="C28" s="349"/>
      <c r="D28" s="349"/>
      <c r="E28" s="349"/>
      <c r="F28" s="349"/>
      <c r="G28" s="349">
        <v>0</v>
      </c>
      <c r="H28" s="350">
        <v>0</v>
      </c>
      <c r="I28" s="349">
        <v>0</v>
      </c>
      <c r="J28" s="323"/>
      <c r="K28" s="321"/>
      <c r="L28" s="321"/>
      <c r="M28" s="321"/>
      <c r="N28" s="337"/>
      <c r="O28" s="337"/>
      <c r="P28" s="337"/>
    </row>
    <row r="29" spans="1:16" ht="14.25">
      <c r="A29" s="321">
        <v>21</v>
      </c>
      <c r="B29" s="347" t="s">
        <v>845</v>
      </c>
      <c r="C29" s="349"/>
      <c r="D29" s="349"/>
      <c r="E29" s="349"/>
      <c r="F29" s="349" t="s">
        <v>907</v>
      </c>
      <c r="G29" s="349">
        <v>1</v>
      </c>
      <c r="H29" s="350">
        <v>350</v>
      </c>
      <c r="I29" s="349">
        <v>95437</v>
      </c>
      <c r="J29" s="323"/>
      <c r="K29" s="321"/>
      <c r="L29" s="321"/>
      <c r="M29" s="321"/>
    </row>
    <row r="30" spans="1:16" ht="14.25">
      <c r="A30" s="321">
        <v>22</v>
      </c>
      <c r="B30" s="347" t="s">
        <v>846</v>
      </c>
      <c r="C30" s="349"/>
      <c r="D30" s="349"/>
      <c r="E30" s="349"/>
      <c r="F30" s="349"/>
      <c r="G30" s="349">
        <v>0</v>
      </c>
      <c r="H30" s="350">
        <v>0</v>
      </c>
      <c r="I30" s="349">
        <v>0</v>
      </c>
      <c r="J30" s="323"/>
      <c r="K30" s="321"/>
      <c r="L30" s="321"/>
      <c r="M30" s="321"/>
      <c r="N30" s="1452"/>
      <c r="O30" s="1452"/>
      <c r="P30" s="1452"/>
    </row>
    <row r="31" spans="1:16" ht="14.25">
      <c r="A31" s="321">
        <v>23</v>
      </c>
      <c r="B31" s="347" t="s">
        <v>847</v>
      </c>
      <c r="C31" s="349"/>
      <c r="D31" s="349"/>
      <c r="E31" s="349"/>
      <c r="F31" s="349" t="s">
        <v>907</v>
      </c>
      <c r="G31" s="349">
        <v>1</v>
      </c>
      <c r="H31" s="350">
        <v>624</v>
      </c>
      <c r="I31" s="349">
        <v>80366</v>
      </c>
      <c r="J31" s="323"/>
      <c r="K31" s="321"/>
      <c r="L31" s="321"/>
      <c r="M31" s="321"/>
      <c r="N31" s="337"/>
      <c r="O31" s="337"/>
      <c r="P31" s="337"/>
    </row>
    <row r="32" spans="1:16" ht="15.75">
      <c r="A32" s="321">
        <v>24</v>
      </c>
      <c r="B32" s="347" t="s">
        <v>848</v>
      </c>
      <c r="C32" s="349"/>
      <c r="D32" s="349"/>
      <c r="E32" s="349"/>
      <c r="F32" s="349" t="s">
        <v>908</v>
      </c>
      <c r="G32" s="349">
        <v>1</v>
      </c>
      <c r="H32" s="350">
        <v>545</v>
      </c>
      <c r="I32" s="349">
        <v>66000</v>
      </c>
      <c r="J32" s="323"/>
      <c r="K32" s="321"/>
      <c r="L32" s="321"/>
      <c r="M32" s="321"/>
      <c r="N32" s="351"/>
      <c r="O32" s="337"/>
      <c r="P32" s="337"/>
    </row>
    <row r="33" spans="1:16" ht="15.75" customHeight="1">
      <c r="A33" s="321">
        <v>25</v>
      </c>
      <c r="B33" s="347" t="s">
        <v>849</v>
      </c>
      <c r="C33" s="349"/>
      <c r="D33" s="349"/>
      <c r="E33" s="349"/>
      <c r="F33" s="349" t="s">
        <v>909</v>
      </c>
      <c r="G33" s="349">
        <v>1</v>
      </c>
      <c r="H33" s="350">
        <v>740</v>
      </c>
      <c r="I33" s="349">
        <v>72164</v>
      </c>
      <c r="J33" s="323"/>
      <c r="K33" s="321"/>
      <c r="L33" s="321"/>
      <c r="M33" s="321"/>
      <c r="N33" s="337"/>
      <c r="O33" s="337"/>
      <c r="P33" s="337"/>
    </row>
    <row r="34" spans="1:16" ht="15.6" customHeight="1">
      <c r="A34" s="321">
        <v>26</v>
      </c>
      <c r="B34" s="347" t="s">
        <v>850</v>
      </c>
      <c r="C34" s="349"/>
      <c r="D34" s="349"/>
      <c r="E34" s="349"/>
      <c r="F34" s="349"/>
      <c r="G34" s="349">
        <v>0</v>
      </c>
      <c r="H34" s="350">
        <v>0</v>
      </c>
      <c r="I34" s="349">
        <v>0</v>
      </c>
      <c r="J34" s="323"/>
      <c r="K34" s="321"/>
      <c r="L34" s="321"/>
      <c r="M34" s="321"/>
      <c r="N34" s="351"/>
      <c r="O34" s="337"/>
      <c r="P34" s="337"/>
    </row>
    <row r="35" spans="1:16" ht="14.25">
      <c r="A35" s="321">
        <v>27</v>
      </c>
      <c r="B35" s="347" t="s">
        <v>851</v>
      </c>
      <c r="C35" s="349"/>
      <c r="D35" s="349"/>
      <c r="E35" s="349"/>
      <c r="F35" s="349"/>
      <c r="G35" s="349">
        <v>0</v>
      </c>
      <c r="H35" s="350">
        <v>0</v>
      </c>
      <c r="I35" s="349">
        <v>0</v>
      </c>
      <c r="J35" s="323"/>
      <c r="K35" s="321"/>
      <c r="L35" s="321"/>
      <c r="M35" s="321"/>
      <c r="N35" s="279"/>
      <c r="O35" s="279"/>
      <c r="P35" s="279"/>
    </row>
    <row r="36" spans="1:16" ht="14.25">
      <c r="A36" s="321">
        <v>28</v>
      </c>
      <c r="B36" s="347" t="s">
        <v>852</v>
      </c>
      <c r="C36" s="349"/>
      <c r="D36" s="349"/>
      <c r="E36" s="349"/>
      <c r="F36" s="349"/>
      <c r="G36" s="349">
        <v>0</v>
      </c>
      <c r="H36" s="350">
        <v>0</v>
      </c>
      <c r="I36" s="349">
        <v>0</v>
      </c>
      <c r="J36" s="323"/>
      <c r="K36" s="321"/>
      <c r="L36" s="321"/>
      <c r="M36" s="321"/>
    </row>
    <row r="37" spans="1:16" ht="14.25">
      <c r="A37" s="321">
        <v>29</v>
      </c>
      <c r="B37" s="347" t="s">
        <v>853</v>
      </c>
      <c r="C37" s="349"/>
      <c r="D37" s="349"/>
      <c r="E37" s="349"/>
      <c r="F37" s="349"/>
      <c r="G37" s="349">
        <v>0</v>
      </c>
      <c r="H37" s="350">
        <v>0</v>
      </c>
      <c r="I37" s="349">
        <v>0</v>
      </c>
      <c r="J37" s="323"/>
      <c r="K37" s="321"/>
      <c r="L37" s="321"/>
      <c r="M37" s="321"/>
    </row>
    <row r="38" spans="1:16" ht="14.25">
      <c r="A38" s="321">
        <v>30</v>
      </c>
      <c r="B38" s="347" t="s">
        <v>854</v>
      </c>
      <c r="C38" s="349"/>
      <c r="D38" s="349"/>
      <c r="E38" s="349"/>
      <c r="F38" s="349"/>
      <c r="G38" s="349">
        <v>0</v>
      </c>
      <c r="H38" s="350">
        <v>0</v>
      </c>
      <c r="I38" s="349">
        <v>0</v>
      </c>
      <c r="J38" s="323"/>
      <c r="K38" s="321"/>
      <c r="L38" s="321"/>
      <c r="M38" s="321"/>
    </row>
    <row r="39" spans="1:16" ht="14.25">
      <c r="A39" s="321">
        <v>31</v>
      </c>
      <c r="B39" s="347" t="s">
        <v>855</v>
      </c>
      <c r="C39" s="349"/>
      <c r="D39" s="349"/>
      <c r="E39" s="349"/>
      <c r="F39" s="349"/>
      <c r="G39" s="349">
        <v>0</v>
      </c>
      <c r="H39" s="350">
        <v>0</v>
      </c>
      <c r="I39" s="349">
        <v>0</v>
      </c>
      <c r="J39" s="323"/>
      <c r="K39" s="321"/>
      <c r="L39" s="321"/>
      <c r="M39" s="321"/>
    </row>
    <row r="40" spans="1:16" ht="14.25">
      <c r="A40" s="321">
        <v>32</v>
      </c>
      <c r="B40" s="347" t="s">
        <v>856</v>
      </c>
      <c r="C40" s="349"/>
      <c r="D40" s="349"/>
      <c r="E40" s="349"/>
      <c r="F40" s="349"/>
      <c r="G40" s="349">
        <v>0</v>
      </c>
      <c r="H40" s="350">
        <v>0</v>
      </c>
      <c r="I40" s="349">
        <v>0</v>
      </c>
      <c r="J40" s="323"/>
      <c r="K40" s="321"/>
      <c r="L40" s="321"/>
      <c r="M40" s="321"/>
    </row>
    <row r="41" spans="1:16" ht="14.25">
      <c r="A41" s="321">
        <v>33</v>
      </c>
      <c r="B41" s="347" t="s">
        <v>857</v>
      </c>
      <c r="C41" s="349"/>
      <c r="D41" s="349"/>
      <c r="E41" s="349"/>
      <c r="F41" s="349"/>
      <c r="G41" s="349">
        <v>0</v>
      </c>
      <c r="H41" s="350">
        <v>0</v>
      </c>
      <c r="I41" s="349">
        <v>0</v>
      </c>
      <c r="J41" s="323"/>
      <c r="K41" s="321"/>
      <c r="L41" s="321"/>
      <c r="M41" s="321"/>
    </row>
    <row r="42" spans="1:16" ht="15">
      <c r="A42" s="1446" t="s">
        <v>18</v>
      </c>
      <c r="B42" s="1447"/>
      <c r="C42" s="322"/>
      <c r="D42" s="322">
        <f>SUM(D9:D41)</f>
        <v>0</v>
      </c>
      <c r="E42" s="322">
        <f>SUM(E9:E41)</f>
        <v>0</v>
      </c>
      <c r="F42" s="322"/>
      <c r="G42" s="322">
        <f>SUM(G9:G41)</f>
        <v>9</v>
      </c>
      <c r="H42" s="326">
        <f>SUM(H9:H41)</f>
        <v>3327</v>
      </c>
      <c r="I42" s="322">
        <f>SUM(I9:I41)</f>
        <v>538000</v>
      </c>
      <c r="J42" s="322"/>
      <c r="K42" s="327"/>
      <c r="L42" s="327"/>
      <c r="M42" s="327"/>
    </row>
    <row r="43" spans="1:16" ht="14.25">
      <c r="A43" s="352"/>
      <c r="B43" s="353"/>
      <c r="C43" s="352"/>
      <c r="D43" s="352"/>
      <c r="E43" s="352"/>
      <c r="F43" s="333"/>
      <c r="G43" s="333"/>
      <c r="H43" s="335"/>
      <c r="I43" s="333"/>
      <c r="J43" s="333"/>
      <c r="K43" s="333"/>
      <c r="L43" s="333"/>
      <c r="M43" s="333"/>
    </row>
    <row r="44" spans="1:16">
      <c r="A44" s="337"/>
      <c r="B44" s="354"/>
      <c r="C44" s="337"/>
      <c r="D44" s="337"/>
      <c r="E44" s="337"/>
      <c r="F44" s="337"/>
      <c r="G44" s="337"/>
      <c r="H44" s="355"/>
      <c r="I44" s="337"/>
      <c r="J44" s="337"/>
      <c r="K44" s="337"/>
      <c r="L44" s="337"/>
      <c r="M44" s="337"/>
    </row>
    <row r="45" spans="1:16" s="994" customFormat="1" ht="15.75" customHeight="1">
      <c r="A45" s="15" t="s">
        <v>12</v>
      </c>
      <c r="B45" s="15"/>
      <c r="C45" s="15"/>
      <c r="K45" s="1040" t="s">
        <v>1106</v>
      </c>
      <c r="L45" s="1040"/>
    </row>
    <row r="46" spans="1:16" s="994" customFormat="1" ht="15.6" customHeight="1">
      <c r="K46" s="1040" t="s">
        <v>481</v>
      </c>
      <c r="L46" s="1040"/>
    </row>
    <row r="47" spans="1:16" s="994" customFormat="1" ht="15.6" customHeight="1">
      <c r="K47" s="1040" t="s">
        <v>1107</v>
      </c>
      <c r="L47" s="1040"/>
    </row>
  </sheetData>
  <mergeCells count="15">
    <mergeCell ref="N30:P30"/>
    <mergeCell ref="C6:E6"/>
    <mergeCell ref="L1:M1"/>
    <mergeCell ref="A2:M2"/>
    <mergeCell ref="A3:M3"/>
    <mergeCell ref="A4:M4"/>
    <mergeCell ref="A5:B5"/>
    <mergeCell ref="A42:B42"/>
    <mergeCell ref="K45:L45"/>
    <mergeCell ref="K46:L46"/>
    <mergeCell ref="K47:L47"/>
    <mergeCell ref="A6:A7"/>
    <mergeCell ref="B6:B7"/>
    <mergeCell ref="F6:I6"/>
    <mergeCell ref="J6:M6"/>
  </mergeCells>
  <printOptions horizontalCentered="1"/>
  <pageMargins left="0.70866141732283472" right="0.70866141732283472" top="0.63" bottom="0" header="0.79" footer="0.31496062992125984"/>
  <pageSetup paperSize="9" scale="69"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L49"/>
  <sheetViews>
    <sheetView topLeftCell="A40" zoomScaleSheetLayoutView="84" workbookViewId="0">
      <selection activeCell="E13" sqref="E13"/>
    </sheetView>
  </sheetViews>
  <sheetFormatPr defaultRowHeight="12.75"/>
  <cols>
    <col min="1" max="1" width="5.85546875" customWidth="1"/>
    <col min="2" max="2" width="14.5703125"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c r="A1" s="1176" t="s">
        <v>0</v>
      </c>
      <c r="B1" s="1176"/>
      <c r="C1" s="1176"/>
      <c r="D1" s="1176"/>
      <c r="E1" s="1176"/>
      <c r="F1" s="1176"/>
      <c r="G1" s="1176"/>
      <c r="H1" s="1176"/>
      <c r="I1" s="1176"/>
      <c r="J1" s="1459" t="s">
        <v>524</v>
      </c>
      <c r="K1" s="1459"/>
    </row>
    <row r="2" spans="1:12" ht="21">
      <c r="A2" s="1177" t="s">
        <v>636</v>
      </c>
      <c r="B2" s="1177"/>
      <c r="C2" s="1177"/>
      <c r="D2" s="1177"/>
      <c r="E2" s="1177"/>
      <c r="F2" s="1177"/>
      <c r="G2" s="1177"/>
      <c r="H2" s="1177"/>
      <c r="I2" s="1177"/>
      <c r="J2" s="1177"/>
      <c r="K2" s="1177"/>
    </row>
    <row r="3" spans="1:12" ht="15">
      <c r="A3" s="176"/>
      <c r="B3" s="176"/>
      <c r="C3" s="176"/>
      <c r="D3" s="176"/>
      <c r="E3" s="176"/>
      <c r="F3" s="176"/>
      <c r="G3" s="176"/>
      <c r="H3" s="176"/>
      <c r="I3" s="176"/>
      <c r="J3" s="176"/>
      <c r="K3" s="176"/>
    </row>
    <row r="4" spans="1:12" ht="15">
      <c r="A4" s="1460" t="s">
        <v>523</v>
      </c>
      <c r="B4" s="1460"/>
      <c r="C4" s="1460"/>
      <c r="D4" s="1460"/>
      <c r="E4" s="1460"/>
      <c r="F4" s="1460"/>
      <c r="G4" s="1460"/>
      <c r="H4" s="1460"/>
      <c r="I4" s="1460"/>
      <c r="J4" s="1460"/>
      <c r="K4" s="1460"/>
    </row>
    <row r="5" spans="1:12" ht="15">
      <c r="A5" s="1092" t="s">
        <v>905</v>
      </c>
      <c r="B5" s="1092"/>
      <c r="C5" s="177"/>
      <c r="D5" s="177"/>
      <c r="E5" s="177"/>
      <c r="F5" s="177"/>
      <c r="G5" s="177"/>
      <c r="H5" s="177"/>
      <c r="I5" s="176"/>
      <c r="J5" s="1304" t="s">
        <v>947</v>
      </c>
      <c r="K5" s="1304"/>
      <c r="L5" s="1304"/>
    </row>
    <row r="6" spans="1:12" s="437" customFormat="1" ht="32.25" customHeight="1">
      <c r="A6" s="1368" t="s">
        <v>2</v>
      </c>
      <c r="B6" s="1368" t="s">
        <v>3</v>
      </c>
      <c r="C6" s="1368" t="s">
        <v>304</v>
      </c>
      <c r="D6" s="1368" t="s">
        <v>305</v>
      </c>
      <c r="E6" s="1368"/>
      <c r="F6" s="1368"/>
      <c r="G6" s="1368"/>
      <c r="H6" s="1368"/>
      <c r="I6" s="1456" t="s">
        <v>306</v>
      </c>
      <c r="J6" s="1457"/>
      <c r="K6" s="1458"/>
    </row>
    <row r="7" spans="1:12" s="437" customFormat="1" ht="90" customHeight="1">
      <c r="A7" s="1368"/>
      <c r="B7" s="1368"/>
      <c r="C7" s="1368"/>
      <c r="D7" s="292" t="s">
        <v>307</v>
      </c>
      <c r="E7" s="292" t="s">
        <v>202</v>
      </c>
      <c r="F7" s="292" t="s">
        <v>449</v>
      </c>
      <c r="G7" s="292" t="s">
        <v>308</v>
      </c>
      <c r="H7" s="292" t="s">
        <v>422</v>
      </c>
      <c r="I7" s="292" t="s">
        <v>309</v>
      </c>
      <c r="J7" s="292" t="s">
        <v>310</v>
      </c>
      <c r="K7" s="292" t="s">
        <v>311</v>
      </c>
    </row>
    <row r="8" spans="1:12" s="437" customFormat="1" ht="15">
      <c r="A8" s="438" t="s">
        <v>268</v>
      </c>
      <c r="B8" s="438" t="s">
        <v>269</v>
      </c>
      <c r="C8" s="438" t="s">
        <v>270</v>
      </c>
      <c r="D8" s="438" t="s">
        <v>271</v>
      </c>
      <c r="E8" s="438" t="s">
        <v>272</v>
      </c>
      <c r="F8" s="438" t="s">
        <v>273</v>
      </c>
      <c r="G8" s="438" t="s">
        <v>274</v>
      </c>
      <c r="H8" s="438" t="s">
        <v>275</v>
      </c>
      <c r="I8" s="438" t="s">
        <v>293</v>
      </c>
      <c r="J8" s="438" t="s">
        <v>294</v>
      </c>
      <c r="K8" s="438" t="s">
        <v>295</v>
      </c>
    </row>
    <row r="9" spans="1:12" s="15" customFormat="1">
      <c r="A9" s="8">
        <v>1</v>
      </c>
      <c r="B9" s="9" t="s">
        <v>825</v>
      </c>
      <c r="C9" s="18">
        <v>2</v>
      </c>
      <c r="D9" s="18">
        <f>'[1]AT_20A_CentralCookingagency '!E12</f>
        <v>497</v>
      </c>
      <c r="E9" s="18">
        <v>110540</v>
      </c>
      <c r="F9" s="439">
        <v>109</v>
      </c>
      <c r="G9" s="439">
        <v>0</v>
      </c>
      <c r="H9" s="18">
        <f>G9+F9</f>
        <v>109</v>
      </c>
      <c r="I9" s="18">
        <f>F9*1000*7/100000</f>
        <v>7.63</v>
      </c>
      <c r="J9" s="18">
        <f>G9*1000*7/100000</f>
        <v>0</v>
      </c>
      <c r="K9" s="18">
        <f>I9+J9</f>
        <v>7.63</v>
      </c>
      <c r="L9" s="5"/>
    </row>
    <row r="10" spans="1:12" s="15" customFormat="1">
      <c r="A10" s="8">
        <v>2</v>
      </c>
      <c r="B10" s="9" t="s">
        <v>826</v>
      </c>
      <c r="C10" s="18">
        <v>0</v>
      </c>
      <c r="D10" s="18">
        <f>'[1]AT_20A_CentralCookingagency '!E13</f>
        <v>0</v>
      </c>
      <c r="E10" s="18">
        <f>'[1]AT_20A_CentralCookingagency '!F13</f>
        <v>0</v>
      </c>
      <c r="F10" s="439">
        <v>0</v>
      </c>
      <c r="G10" s="439">
        <v>0</v>
      </c>
      <c r="H10" s="18">
        <f t="shared" ref="H10:H41" si="0">G10+F10</f>
        <v>0</v>
      </c>
      <c r="I10" s="18">
        <f t="shared" ref="I10:J41" si="1">F10*1000*7/100000</f>
        <v>0</v>
      </c>
      <c r="J10" s="18">
        <f t="shared" si="1"/>
        <v>0</v>
      </c>
      <c r="K10" s="18">
        <f t="shared" ref="K10:K41" si="2">I10+J10</f>
        <v>0</v>
      </c>
      <c r="L10" s="5"/>
    </row>
    <row r="11" spans="1:12" s="15" customFormat="1">
      <c r="A11" s="8">
        <v>3</v>
      </c>
      <c r="B11" s="9" t="s">
        <v>827</v>
      </c>
      <c r="C11" s="18">
        <v>0</v>
      </c>
      <c r="D11" s="18">
        <v>0</v>
      </c>
      <c r="E11" s="18">
        <v>0</v>
      </c>
      <c r="F11" s="439">
        <v>0</v>
      </c>
      <c r="G11" s="439">
        <v>0</v>
      </c>
      <c r="H11" s="18">
        <f t="shared" si="0"/>
        <v>0</v>
      </c>
      <c r="I11" s="18">
        <f t="shared" si="1"/>
        <v>0</v>
      </c>
      <c r="J11" s="18">
        <f t="shared" si="1"/>
        <v>0</v>
      </c>
      <c r="K11" s="18">
        <f t="shared" si="2"/>
        <v>0</v>
      </c>
      <c r="L11" s="5"/>
    </row>
    <row r="12" spans="1:12" s="15" customFormat="1">
      <c r="A12" s="8">
        <v>4</v>
      </c>
      <c r="B12" s="9" t="s">
        <v>828</v>
      </c>
      <c r="C12" s="18">
        <v>0</v>
      </c>
      <c r="D12" s="18">
        <v>0</v>
      </c>
      <c r="E12" s="18">
        <v>0</v>
      </c>
      <c r="F12" s="439">
        <v>0</v>
      </c>
      <c r="G12" s="439">
        <v>0</v>
      </c>
      <c r="H12" s="18">
        <f t="shared" si="0"/>
        <v>0</v>
      </c>
      <c r="I12" s="18">
        <f t="shared" si="1"/>
        <v>0</v>
      </c>
      <c r="J12" s="18">
        <f t="shared" si="1"/>
        <v>0</v>
      </c>
      <c r="K12" s="18">
        <f t="shared" si="2"/>
        <v>0</v>
      </c>
      <c r="L12" s="5"/>
    </row>
    <row r="13" spans="1:12" s="15" customFormat="1">
      <c r="A13" s="8">
        <v>5</v>
      </c>
      <c r="B13" s="9" t="s">
        <v>829</v>
      </c>
      <c r="C13" s="18">
        <v>0</v>
      </c>
      <c r="D13" s="18">
        <f>'[1]AT_20A_CentralCookingagency '!E16</f>
        <v>0</v>
      </c>
      <c r="E13" s="18">
        <v>0</v>
      </c>
      <c r="F13" s="439">
        <v>0</v>
      </c>
      <c r="G13" s="439">
        <v>0</v>
      </c>
      <c r="H13" s="18">
        <f t="shared" si="0"/>
        <v>0</v>
      </c>
      <c r="I13" s="18">
        <f t="shared" si="1"/>
        <v>0</v>
      </c>
      <c r="J13" s="18">
        <f t="shared" si="1"/>
        <v>0</v>
      </c>
      <c r="K13" s="18">
        <f t="shared" si="2"/>
        <v>0</v>
      </c>
      <c r="L13" s="5"/>
    </row>
    <row r="14" spans="1:12" s="15" customFormat="1">
      <c r="A14" s="8">
        <v>6</v>
      </c>
      <c r="B14" s="9" t="s">
        <v>830</v>
      </c>
      <c r="C14" s="18">
        <v>0</v>
      </c>
      <c r="D14" s="18">
        <f>'[1]AT_20A_CentralCookingagency '!E17</f>
        <v>0</v>
      </c>
      <c r="E14" s="18">
        <f>'[1]AT_20A_CentralCookingagency '!F17</f>
        <v>0</v>
      </c>
      <c r="F14" s="439">
        <v>0</v>
      </c>
      <c r="G14" s="439">
        <v>0</v>
      </c>
      <c r="H14" s="18">
        <f t="shared" si="0"/>
        <v>0</v>
      </c>
      <c r="I14" s="18">
        <f t="shared" si="1"/>
        <v>0</v>
      </c>
      <c r="J14" s="18">
        <f t="shared" si="1"/>
        <v>0</v>
      </c>
      <c r="K14" s="18">
        <f t="shared" si="2"/>
        <v>0</v>
      </c>
      <c r="L14" s="5"/>
    </row>
    <row r="15" spans="1:12" s="15" customFormat="1">
      <c r="A15" s="8">
        <v>7</v>
      </c>
      <c r="B15" s="9" t="s">
        <v>831</v>
      </c>
      <c r="C15" s="18">
        <v>0</v>
      </c>
      <c r="D15" s="18">
        <f>'[1]AT_20A_CentralCookingagency '!E18</f>
        <v>0</v>
      </c>
      <c r="E15" s="18">
        <f>'[1]AT_20A_CentralCookingagency '!F18</f>
        <v>0</v>
      </c>
      <c r="F15" s="439">
        <v>0</v>
      </c>
      <c r="G15" s="439">
        <v>0</v>
      </c>
      <c r="H15" s="18">
        <f t="shared" si="0"/>
        <v>0</v>
      </c>
      <c r="I15" s="18">
        <f t="shared" si="1"/>
        <v>0</v>
      </c>
      <c r="J15" s="18">
        <f t="shared" si="1"/>
        <v>0</v>
      </c>
      <c r="K15" s="18">
        <f t="shared" si="2"/>
        <v>0</v>
      </c>
      <c r="L15" s="5"/>
    </row>
    <row r="16" spans="1:12" s="15" customFormat="1">
      <c r="A16" s="8">
        <v>8</v>
      </c>
      <c r="B16" s="9" t="s">
        <v>832</v>
      </c>
      <c r="C16" s="18">
        <v>1</v>
      </c>
      <c r="D16" s="18">
        <v>56</v>
      </c>
      <c r="E16" s="18">
        <v>13335</v>
      </c>
      <c r="F16" s="439">
        <v>25</v>
      </c>
      <c r="G16" s="439">
        <v>0</v>
      </c>
      <c r="H16" s="18">
        <f t="shared" si="0"/>
        <v>25</v>
      </c>
      <c r="I16" s="18">
        <f t="shared" si="1"/>
        <v>1.75</v>
      </c>
      <c r="J16" s="18">
        <f t="shared" si="1"/>
        <v>0</v>
      </c>
      <c r="K16" s="18">
        <f t="shared" si="2"/>
        <v>1.75</v>
      </c>
      <c r="L16" s="5"/>
    </row>
    <row r="17" spans="1:12" s="15" customFormat="1">
      <c r="A17" s="8">
        <v>9</v>
      </c>
      <c r="B17" s="9" t="s">
        <v>833</v>
      </c>
      <c r="C17" s="18">
        <v>0</v>
      </c>
      <c r="D17" s="18">
        <f>'[1]AT_20A_CentralCookingagency '!E20</f>
        <v>0</v>
      </c>
      <c r="E17" s="18">
        <v>0</v>
      </c>
      <c r="F17" s="439">
        <v>0</v>
      </c>
      <c r="G17" s="439">
        <v>0</v>
      </c>
      <c r="H17" s="18">
        <f t="shared" si="0"/>
        <v>0</v>
      </c>
      <c r="I17" s="18">
        <f t="shared" si="1"/>
        <v>0</v>
      </c>
      <c r="J17" s="18">
        <f t="shared" si="1"/>
        <v>0</v>
      </c>
      <c r="K17" s="18">
        <f t="shared" si="2"/>
        <v>0</v>
      </c>
      <c r="L17" s="5"/>
    </row>
    <row r="18" spans="1:12" s="15" customFormat="1">
      <c r="A18" s="8">
        <v>10</v>
      </c>
      <c r="B18" s="9" t="s">
        <v>834</v>
      </c>
      <c r="C18" s="18">
        <v>0</v>
      </c>
      <c r="D18" s="18">
        <f>'[1]AT_20A_CentralCookingagency '!E21</f>
        <v>0</v>
      </c>
      <c r="E18" s="18">
        <v>0</v>
      </c>
      <c r="F18" s="439">
        <v>0</v>
      </c>
      <c r="G18" s="439">
        <v>0</v>
      </c>
      <c r="H18" s="18">
        <f t="shared" si="0"/>
        <v>0</v>
      </c>
      <c r="I18" s="18">
        <f t="shared" si="1"/>
        <v>0</v>
      </c>
      <c r="J18" s="18">
        <f t="shared" si="1"/>
        <v>0</v>
      </c>
      <c r="K18" s="18">
        <f t="shared" si="2"/>
        <v>0</v>
      </c>
      <c r="L18" s="5"/>
    </row>
    <row r="19" spans="1:12" s="15" customFormat="1">
      <c r="A19" s="8">
        <v>11</v>
      </c>
      <c r="B19" s="9" t="s">
        <v>835</v>
      </c>
      <c r="C19" s="18">
        <v>1</v>
      </c>
      <c r="D19" s="18">
        <f>'[1]AT_20A_CentralCookingagency '!E22</f>
        <v>430</v>
      </c>
      <c r="E19" s="440">
        <v>79158</v>
      </c>
      <c r="F19" s="439">
        <v>58</v>
      </c>
      <c r="G19" s="439">
        <v>0</v>
      </c>
      <c r="H19" s="18">
        <f t="shared" si="0"/>
        <v>58</v>
      </c>
      <c r="I19" s="18">
        <f t="shared" si="1"/>
        <v>4.0599999999999996</v>
      </c>
      <c r="J19" s="18">
        <f t="shared" si="1"/>
        <v>0</v>
      </c>
      <c r="K19" s="18">
        <f t="shared" si="2"/>
        <v>4.0599999999999996</v>
      </c>
      <c r="L19" s="5"/>
    </row>
    <row r="20" spans="1:12" s="15" customFormat="1">
      <c r="A20" s="8">
        <v>12</v>
      </c>
      <c r="B20" s="9" t="s">
        <v>836</v>
      </c>
      <c r="C20" s="18">
        <v>0</v>
      </c>
      <c r="D20" s="18">
        <f>'[1]AT_20A_CentralCookingagency '!E23</f>
        <v>0</v>
      </c>
      <c r="E20" s="18">
        <v>0</v>
      </c>
      <c r="F20" s="439">
        <v>0</v>
      </c>
      <c r="G20" s="439">
        <v>0</v>
      </c>
      <c r="H20" s="18">
        <f t="shared" si="0"/>
        <v>0</v>
      </c>
      <c r="I20" s="18">
        <f t="shared" si="1"/>
        <v>0</v>
      </c>
      <c r="J20" s="18">
        <f t="shared" si="1"/>
        <v>0</v>
      </c>
      <c r="K20" s="18">
        <f t="shared" si="2"/>
        <v>0</v>
      </c>
      <c r="L20" s="5"/>
    </row>
    <row r="21" spans="1:12" s="15" customFormat="1">
      <c r="A21" s="8">
        <v>13</v>
      </c>
      <c r="B21" s="9" t="s">
        <v>837</v>
      </c>
      <c r="C21" s="18">
        <v>0</v>
      </c>
      <c r="D21" s="18">
        <f>'[1]AT_20A_CentralCookingagency '!E24</f>
        <v>0</v>
      </c>
      <c r="E21" s="18">
        <v>0</v>
      </c>
      <c r="F21" s="439">
        <v>0</v>
      </c>
      <c r="G21" s="439">
        <v>0</v>
      </c>
      <c r="H21" s="18">
        <f t="shared" si="0"/>
        <v>0</v>
      </c>
      <c r="I21" s="18">
        <f t="shared" si="1"/>
        <v>0</v>
      </c>
      <c r="J21" s="18">
        <f t="shared" si="1"/>
        <v>0</v>
      </c>
      <c r="K21" s="18">
        <f t="shared" si="2"/>
        <v>0</v>
      </c>
      <c r="L21" s="5"/>
    </row>
    <row r="22" spans="1:12" s="15" customFormat="1">
      <c r="A22" s="8">
        <v>14</v>
      </c>
      <c r="B22" s="9" t="s">
        <v>838</v>
      </c>
      <c r="C22" s="18">
        <v>0</v>
      </c>
      <c r="D22" s="18">
        <v>0</v>
      </c>
      <c r="E22" s="18">
        <v>0</v>
      </c>
      <c r="F22" s="439">
        <v>0</v>
      </c>
      <c r="G22" s="439">
        <v>0</v>
      </c>
      <c r="H22" s="18">
        <f t="shared" si="0"/>
        <v>0</v>
      </c>
      <c r="I22" s="18">
        <f t="shared" si="1"/>
        <v>0</v>
      </c>
      <c r="J22" s="18">
        <f t="shared" si="1"/>
        <v>0</v>
      </c>
      <c r="K22" s="18">
        <f t="shared" si="2"/>
        <v>0</v>
      </c>
      <c r="L22" s="5"/>
    </row>
    <row r="23" spans="1:12">
      <c r="A23" s="8">
        <v>15</v>
      </c>
      <c r="B23" s="9" t="s">
        <v>839</v>
      </c>
      <c r="C23" s="18">
        <v>0</v>
      </c>
      <c r="D23" s="18">
        <f>'[1]AT_20A_CentralCookingagency '!E26</f>
        <v>0</v>
      </c>
      <c r="E23" s="18">
        <f>'[1]AT_20A_CentralCookingagency '!F26</f>
        <v>0</v>
      </c>
      <c r="F23" s="439">
        <v>0</v>
      </c>
      <c r="G23" s="439">
        <v>0</v>
      </c>
      <c r="H23" s="18">
        <f t="shared" si="0"/>
        <v>0</v>
      </c>
      <c r="I23" s="18">
        <f t="shared" si="1"/>
        <v>0</v>
      </c>
      <c r="J23" s="18">
        <f t="shared" si="1"/>
        <v>0</v>
      </c>
      <c r="K23" s="18">
        <f t="shared" si="2"/>
        <v>0</v>
      </c>
      <c r="L23" s="9"/>
    </row>
    <row r="24" spans="1:12">
      <c r="A24" s="8">
        <v>16</v>
      </c>
      <c r="B24" s="9" t="s">
        <v>840</v>
      </c>
      <c r="C24" s="18">
        <v>0</v>
      </c>
      <c r="D24" s="18">
        <v>0</v>
      </c>
      <c r="E24" s="18">
        <f>'[1]AT_20A_CentralCookingagency '!F27</f>
        <v>0</v>
      </c>
      <c r="F24" s="439">
        <v>0</v>
      </c>
      <c r="G24" s="439">
        <v>0</v>
      </c>
      <c r="H24" s="18">
        <f t="shared" si="0"/>
        <v>0</v>
      </c>
      <c r="I24" s="18">
        <f t="shared" si="1"/>
        <v>0</v>
      </c>
      <c r="J24" s="18">
        <f t="shared" si="1"/>
        <v>0</v>
      </c>
      <c r="K24" s="18">
        <f t="shared" si="2"/>
        <v>0</v>
      </c>
      <c r="L24" s="9"/>
    </row>
    <row r="25" spans="1:12">
      <c r="A25" s="8">
        <v>17</v>
      </c>
      <c r="B25" s="9" t="s">
        <v>841</v>
      </c>
      <c r="C25" s="18">
        <f>'[1]AT-30'!C25</f>
        <v>0</v>
      </c>
      <c r="D25" s="18">
        <f>'[1]AT_20A_CentralCookingagency '!E28</f>
        <v>0</v>
      </c>
      <c r="E25" s="18">
        <f>'[1]AT_20A_CentralCookingagency '!F28</f>
        <v>0</v>
      </c>
      <c r="F25" s="439">
        <v>0</v>
      </c>
      <c r="G25" s="439">
        <v>0</v>
      </c>
      <c r="H25" s="18">
        <f t="shared" si="0"/>
        <v>0</v>
      </c>
      <c r="I25" s="18">
        <f t="shared" si="1"/>
        <v>0</v>
      </c>
      <c r="J25" s="18">
        <f t="shared" si="1"/>
        <v>0</v>
      </c>
      <c r="K25" s="18">
        <f t="shared" si="2"/>
        <v>0</v>
      </c>
      <c r="L25" s="9"/>
    </row>
    <row r="26" spans="1:12">
      <c r="A26" s="8">
        <v>18</v>
      </c>
      <c r="B26" s="9" t="s">
        <v>842</v>
      </c>
      <c r="C26" s="18">
        <v>0</v>
      </c>
      <c r="D26" s="18">
        <f>'[1]AT_20A_CentralCookingagency '!E29</f>
        <v>0</v>
      </c>
      <c r="E26" s="18">
        <f>'[1]AT_20A_CentralCookingagency '!F29</f>
        <v>0</v>
      </c>
      <c r="F26" s="439">
        <v>0</v>
      </c>
      <c r="G26" s="439">
        <v>0</v>
      </c>
      <c r="H26" s="18">
        <f t="shared" si="0"/>
        <v>0</v>
      </c>
      <c r="I26" s="18">
        <f t="shared" si="1"/>
        <v>0</v>
      </c>
      <c r="J26" s="18">
        <f t="shared" si="1"/>
        <v>0</v>
      </c>
      <c r="K26" s="18">
        <f t="shared" si="2"/>
        <v>0</v>
      </c>
      <c r="L26" s="9"/>
    </row>
    <row r="27" spans="1:12">
      <c r="A27" s="8">
        <v>19</v>
      </c>
      <c r="B27" s="9" t="s">
        <v>843</v>
      </c>
      <c r="C27" s="18">
        <v>1</v>
      </c>
      <c r="D27" s="18">
        <v>85</v>
      </c>
      <c r="E27" s="18">
        <v>21000</v>
      </c>
      <c r="F27" s="266">
        <v>20</v>
      </c>
      <c r="G27" s="441">
        <v>0</v>
      </c>
      <c r="H27" s="18">
        <f t="shared" si="0"/>
        <v>20</v>
      </c>
      <c r="I27" s="18">
        <f t="shared" si="1"/>
        <v>1.4</v>
      </c>
      <c r="J27" s="18">
        <f t="shared" si="1"/>
        <v>0</v>
      </c>
      <c r="K27" s="18">
        <f t="shared" si="2"/>
        <v>1.4</v>
      </c>
      <c r="L27" s="9"/>
    </row>
    <row r="28" spans="1:12">
      <c r="A28" s="8">
        <v>20</v>
      </c>
      <c r="B28" s="9" t="s">
        <v>844</v>
      </c>
      <c r="C28" s="18">
        <v>0</v>
      </c>
      <c r="D28" s="18">
        <f>'[1]AT_20A_CentralCookingagency '!E31</f>
        <v>0</v>
      </c>
      <c r="E28" s="18">
        <v>0</v>
      </c>
      <c r="F28" s="439">
        <v>0</v>
      </c>
      <c r="G28" s="439">
        <v>0</v>
      </c>
      <c r="H28" s="18">
        <f t="shared" si="0"/>
        <v>0</v>
      </c>
      <c r="I28" s="18">
        <f t="shared" si="1"/>
        <v>0</v>
      </c>
      <c r="J28" s="18">
        <f t="shared" si="1"/>
        <v>0</v>
      </c>
      <c r="K28" s="18">
        <f t="shared" si="2"/>
        <v>0</v>
      </c>
      <c r="L28" s="9"/>
    </row>
    <row r="29" spans="1:12">
      <c r="A29" s="8">
        <v>21</v>
      </c>
      <c r="B29" s="9" t="s">
        <v>845</v>
      </c>
      <c r="C29" s="18">
        <v>1</v>
      </c>
      <c r="D29" s="18">
        <f>'[1]AT_20A_CentralCookingagency '!E32</f>
        <v>350</v>
      </c>
      <c r="E29" s="18">
        <v>95437</v>
      </c>
      <c r="F29" s="266">
        <v>60</v>
      </c>
      <c r="G29" s="441">
        <v>0</v>
      </c>
      <c r="H29" s="18">
        <f t="shared" si="0"/>
        <v>60</v>
      </c>
      <c r="I29" s="18">
        <f t="shared" si="1"/>
        <v>4.2</v>
      </c>
      <c r="J29" s="18">
        <f t="shared" si="1"/>
        <v>0</v>
      </c>
      <c r="K29" s="18">
        <f t="shared" si="2"/>
        <v>4.2</v>
      </c>
      <c r="L29" s="9"/>
    </row>
    <row r="30" spans="1:12">
      <c r="A30" s="8">
        <v>22</v>
      </c>
      <c r="B30" s="9" t="s">
        <v>846</v>
      </c>
      <c r="C30" s="18">
        <v>0</v>
      </c>
      <c r="D30" s="18">
        <f>'[1]AT_20A_CentralCookingagency '!E33</f>
        <v>0</v>
      </c>
      <c r="E30" s="18">
        <f>'[1]AT_20A_CentralCookingagency '!F33</f>
        <v>0</v>
      </c>
      <c r="F30" s="439">
        <v>0</v>
      </c>
      <c r="G30" s="439">
        <v>0</v>
      </c>
      <c r="H30" s="18">
        <f t="shared" si="0"/>
        <v>0</v>
      </c>
      <c r="I30" s="18">
        <f t="shared" si="1"/>
        <v>0</v>
      </c>
      <c r="J30" s="18">
        <f t="shared" si="1"/>
        <v>0</v>
      </c>
      <c r="K30" s="18">
        <f t="shared" si="2"/>
        <v>0</v>
      </c>
      <c r="L30" s="9"/>
    </row>
    <row r="31" spans="1:12">
      <c r="A31" s="8">
        <v>23</v>
      </c>
      <c r="B31" s="9" t="s">
        <v>847</v>
      </c>
      <c r="C31" s="18">
        <f>'[1]AT-30'!C31</f>
        <v>1</v>
      </c>
      <c r="D31" s="18">
        <v>624</v>
      </c>
      <c r="E31" s="18">
        <v>80366</v>
      </c>
      <c r="F31" s="266">
        <v>45</v>
      </c>
      <c r="G31" s="441">
        <v>0</v>
      </c>
      <c r="H31" s="18">
        <f t="shared" si="0"/>
        <v>45</v>
      </c>
      <c r="I31" s="18">
        <f t="shared" si="1"/>
        <v>3.15</v>
      </c>
      <c r="J31" s="18">
        <f t="shared" si="1"/>
        <v>0</v>
      </c>
      <c r="K31" s="18">
        <f t="shared" si="2"/>
        <v>3.15</v>
      </c>
      <c r="L31" s="9"/>
    </row>
    <row r="32" spans="1:12">
      <c r="A32" s="8">
        <v>24</v>
      </c>
      <c r="B32" s="9" t="s">
        <v>848</v>
      </c>
      <c r="C32" s="18">
        <f>'[1]AT-30'!C32</f>
        <v>1</v>
      </c>
      <c r="D32" s="18">
        <f>'[1]AT_20A_CentralCookingagency '!E35</f>
        <v>545</v>
      </c>
      <c r="E32" s="18">
        <v>66000</v>
      </c>
      <c r="F32" s="266">
        <v>45</v>
      </c>
      <c r="G32" s="441">
        <v>0</v>
      </c>
      <c r="H32" s="18">
        <f t="shared" si="0"/>
        <v>45</v>
      </c>
      <c r="I32" s="18">
        <f t="shared" si="1"/>
        <v>3.15</v>
      </c>
      <c r="J32" s="18">
        <f t="shared" si="1"/>
        <v>0</v>
      </c>
      <c r="K32" s="18">
        <f t="shared" si="2"/>
        <v>3.15</v>
      </c>
      <c r="L32" s="9"/>
    </row>
    <row r="33" spans="1:12">
      <c r="A33" s="8">
        <v>25</v>
      </c>
      <c r="B33" s="9" t="s">
        <v>849</v>
      </c>
      <c r="C33" s="18">
        <f>'[1]AT-30'!C33</f>
        <v>1</v>
      </c>
      <c r="D33" s="18">
        <f>'[1]AT_20A_CentralCookingagency '!E36</f>
        <v>740</v>
      </c>
      <c r="E33" s="18">
        <v>72164</v>
      </c>
      <c r="F33" s="266">
        <v>0</v>
      </c>
      <c r="G33" s="441">
        <v>0</v>
      </c>
      <c r="H33" s="18">
        <f t="shared" si="0"/>
        <v>0</v>
      </c>
      <c r="I33" s="18">
        <f t="shared" si="1"/>
        <v>0</v>
      </c>
      <c r="J33" s="18">
        <f t="shared" si="1"/>
        <v>0</v>
      </c>
      <c r="K33" s="18">
        <f t="shared" si="2"/>
        <v>0</v>
      </c>
      <c r="L33" s="9"/>
    </row>
    <row r="34" spans="1:12">
      <c r="A34" s="8">
        <v>26</v>
      </c>
      <c r="B34" s="9" t="s">
        <v>850</v>
      </c>
      <c r="C34" s="18">
        <f>'[1]AT-30'!C34</f>
        <v>0</v>
      </c>
      <c r="D34" s="18">
        <f>'[1]AT_20A_CentralCookingagency '!E37</f>
        <v>0</v>
      </c>
      <c r="E34" s="18">
        <f>'[1]AT_20A_CentralCookingagency '!F37</f>
        <v>0</v>
      </c>
      <c r="F34" s="439">
        <v>0</v>
      </c>
      <c r="G34" s="439">
        <v>0</v>
      </c>
      <c r="H34" s="18">
        <f t="shared" si="0"/>
        <v>0</v>
      </c>
      <c r="I34" s="18">
        <f t="shared" si="1"/>
        <v>0</v>
      </c>
      <c r="J34" s="18">
        <f t="shared" si="1"/>
        <v>0</v>
      </c>
      <c r="K34" s="18">
        <f t="shared" si="2"/>
        <v>0</v>
      </c>
      <c r="L34" s="9"/>
    </row>
    <row r="35" spans="1:12">
      <c r="A35" s="8">
        <v>27</v>
      </c>
      <c r="B35" s="9" t="s">
        <v>851</v>
      </c>
      <c r="C35" s="18">
        <f>'[1]AT-30'!C35</f>
        <v>0</v>
      </c>
      <c r="D35" s="18">
        <f>'[1]AT_20A_CentralCookingagency '!E38</f>
        <v>0</v>
      </c>
      <c r="E35" s="18">
        <f>'[1]AT_20A_CentralCookingagency '!F38</f>
        <v>0</v>
      </c>
      <c r="F35" s="439">
        <v>0</v>
      </c>
      <c r="G35" s="439">
        <v>0</v>
      </c>
      <c r="H35" s="18">
        <f t="shared" si="0"/>
        <v>0</v>
      </c>
      <c r="I35" s="18">
        <f t="shared" si="1"/>
        <v>0</v>
      </c>
      <c r="J35" s="18">
        <f t="shared" si="1"/>
        <v>0</v>
      </c>
      <c r="K35" s="18">
        <f t="shared" si="2"/>
        <v>0</v>
      </c>
      <c r="L35" s="9"/>
    </row>
    <row r="36" spans="1:12">
      <c r="A36" s="8">
        <v>28</v>
      </c>
      <c r="B36" s="9" t="s">
        <v>852</v>
      </c>
      <c r="C36" s="18">
        <f>'[1]AT-30'!C36</f>
        <v>0</v>
      </c>
      <c r="D36" s="18">
        <f>'[1]AT_20A_CentralCookingagency '!E39</f>
        <v>0</v>
      </c>
      <c r="E36" s="18">
        <f>'[1]AT_20A_CentralCookingagency '!F39</f>
        <v>0</v>
      </c>
      <c r="F36" s="439">
        <v>0</v>
      </c>
      <c r="G36" s="439">
        <v>0</v>
      </c>
      <c r="H36" s="18">
        <f t="shared" si="0"/>
        <v>0</v>
      </c>
      <c r="I36" s="18">
        <f t="shared" si="1"/>
        <v>0</v>
      </c>
      <c r="J36" s="18">
        <f t="shared" si="1"/>
        <v>0</v>
      </c>
      <c r="K36" s="18">
        <f t="shared" si="2"/>
        <v>0</v>
      </c>
      <c r="L36" s="9"/>
    </row>
    <row r="37" spans="1:12">
      <c r="A37" s="8">
        <v>29</v>
      </c>
      <c r="B37" s="9" t="s">
        <v>853</v>
      </c>
      <c r="C37" s="18">
        <f>'[1]AT-30'!C37</f>
        <v>0</v>
      </c>
      <c r="D37" s="18">
        <f>'[1]AT_20A_CentralCookingagency '!E40</f>
        <v>0</v>
      </c>
      <c r="E37" s="18">
        <f>'[1]AT_20A_CentralCookingagency '!F40</f>
        <v>0</v>
      </c>
      <c r="F37" s="439">
        <v>0</v>
      </c>
      <c r="G37" s="439">
        <v>0</v>
      </c>
      <c r="H37" s="18">
        <f t="shared" si="0"/>
        <v>0</v>
      </c>
      <c r="I37" s="18">
        <f t="shared" si="1"/>
        <v>0</v>
      </c>
      <c r="J37" s="18">
        <f t="shared" si="1"/>
        <v>0</v>
      </c>
      <c r="K37" s="18">
        <f t="shared" si="2"/>
        <v>0</v>
      </c>
      <c r="L37" s="9"/>
    </row>
    <row r="38" spans="1:12">
      <c r="A38" s="8">
        <v>30</v>
      </c>
      <c r="B38" s="9" t="s">
        <v>854</v>
      </c>
      <c r="C38" s="18">
        <f>'[1]AT-30'!C38</f>
        <v>0</v>
      </c>
      <c r="D38" s="18">
        <f>'[1]AT_20A_CentralCookingagency '!E41</f>
        <v>0</v>
      </c>
      <c r="E38" s="18">
        <f>'[1]AT_20A_CentralCookingagency '!F41</f>
        <v>0</v>
      </c>
      <c r="F38" s="439">
        <v>0</v>
      </c>
      <c r="G38" s="439">
        <v>0</v>
      </c>
      <c r="H38" s="18">
        <f t="shared" si="0"/>
        <v>0</v>
      </c>
      <c r="I38" s="18">
        <f t="shared" si="1"/>
        <v>0</v>
      </c>
      <c r="J38" s="18">
        <f t="shared" si="1"/>
        <v>0</v>
      </c>
      <c r="K38" s="18">
        <f t="shared" si="2"/>
        <v>0</v>
      </c>
      <c r="L38" s="9"/>
    </row>
    <row r="39" spans="1:12">
      <c r="A39" s="8">
        <v>31</v>
      </c>
      <c r="B39" s="9" t="s">
        <v>855</v>
      </c>
      <c r="C39" s="18">
        <f>'[1]AT-30'!C39</f>
        <v>0</v>
      </c>
      <c r="D39" s="18">
        <f>'[1]AT_20A_CentralCookingagency '!E42</f>
        <v>0</v>
      </c>
      <c r="E39" s="18">
        <f>'[1]AT_20A_CentralCookingagency '!F42</f>
        <v>0</v>
      </c>
      <c r="F39" s="439">
        <v>0</v>
      </c>
      <c r="G39" s="439">
        <v>0</v>
      </c>
      <c r="H39" s="18">
        <f t="shared" si="0"/>
        <v>0</v>
      </c>
      <c r="I39" s="18">
        <f t="shared" si="1"/>
        <v>0</v>
      </c>
      <c r="J39" s="18">
        <f t="shared" si="1"/>
        <v>0</v>
      </c>
      <c r="K39" s="18">
        <f t="shared" si="2"/>
        <v>0</v>
      </c>
      <c r="L39" s="9"/>
    </row>
    <row r="40" spans="1:12">
      <c r="A40" s="8">
        <v>32</v>
      </c>
      <c r="B40" s="9" t="s">
        <v>856</v>
      </c>
      <c r="C40" s="18">
        <f>'[1]AT-30'!C40</f>
        <v>0</v>
      </c>
      <c r="D40" s="18">
        <f>'[1]AT_20A_CentralCookingagency '!E43</f>
        <v>0</v>
      </c>
      <c r="E40" s="18">
        <f>'[1]AT_20A_CentralCookingagency '!F43</f>
        <v>0</v>
      </c>
      <c r="F40" s="439">
        <v>0</v>
      </c>
      <c r="G40" s="439">
        <v>0</v>
      </c>
      <c r="H40" s="18">
        <f t="shared" si="0"/>
        <v>0</v>
      </c>
      <c r="I40" s="18">
        <f t="shared" si="1"/>
        <v>0</v>
      </c>
      <c r="J40" s="18">
        <f t="shared" si="1"/>
        <v>0</v>
      </c>
      <c r="K40" s="18">
        <f t="shared" si="2"/>
        <v>0</v>
      </c>
      <c r="L40" s="9"/>
    </row>
    <row r="41" spans="1:12">
      <c r="A41" s="8">
        <v>33</v>
      </c>
      <c r="B41" s="9" t="s">
        <v>857</v>
      </c>
      <c r="C41" s="18">
        <f>'[1]AT-30'!C41</f>
        <v>0</v>
      </c>
      <c r="D41" s="18">
        <f>'[1]AT_20A_CentralCookingagency '!E44</f>
        <v>0</v>
      </c>
      <c r="E41" s="18">
        <f>'[1]AT_20A_CentralCookingagency '!F44</f>
        <v>0</v>
      </c>
      <c r="F41" s="439">
        <v>0</v>
      </c>
      <c r="G41" s="439">
        <v>0</v>
      </c>
      <c r="H41" s="18">
        <f t="shared" si="0"/>
        <v>0</v>
      </c>
      <c r="I41" s="18">
        <f t="shared" si="1"/>
        <v>0</v>
      </c>
      <c r="J41" s="18">
        <f t="shared" si="1"/>
        <v>0</v>
      </c>
      <c r="K41" s="18">
        <f t="shared" si="2"/>
        <v>0</v>
      </c>
      <c r="L41" s="9"/>
    </row>
    <row r="42" spans="1:12" s="15" customFormat="1">
      <c r="A42" s="1070" t="s">
        <v>18</v>
      </c>
      <c r="B42" s="1071"/>
      <c r="C42" s="3">
        <f>SUM(C9:C41)</f>
        <v>9</v>
      </c>
      <c r="D42" s="3">
        <f t="shared" ref="D42:K42" si="3">SUM(D9:D41)</f>
        <v>3327</v>
      </c>
      <c r="E42" s="3">
        <f t="shared" si="3"/>
        <v>538000</v>
      </c>
      <c r="F42" s="3">
        <f t="shared" si="3"/>
        <v>362</v>
      </c>
      <c r="G42" s="3">
        <v>0</v>
      </c>
      <c r="H42" s="3">
        <f t="shared" si="3"/>
        <v>362</v>
      </c>
      <c r="I42" s="3">
        <f t="shared" si="3"/>
        <v>25.339999999999996</v>
      </c>
      <c r="J42" s="3">
        <f t="shared" si="3"/>
        <v>0</v>
      </c>
      <c r="K42" s="3">
        <f t="shared" si="3"/>
        <v>25.339999999999996</v>
      </c>
    </row>
    <row r="44" spans="1:12">
      <c r="A44" s="15" t="s">
        <v>450</v>
      </c>
    </row>
    <row r="45" spans="1:12" ht="14.45" customHeight="1"/>
    <row r="46" spans="1:12" s="994" customFormat="1" ht="15.75" customHeight="1">
      <c r="A46" s="15" t="s">
        <v>12</v>
      </c>
      <c r="B46" s="15"/>
      <c r="C46" s="15"/>
      <c r="J46" s="1040" t="s">
        <v>1106</v>
      </c>
      <c r="K46" s="1040"/>
      <c r="L46" s="1040"/>
    </row>
    <row r="47" spans="1:12" s="994" customFormat="1" ht="15.6" customHeight="1">
      <c r="J47" s="1040" t="s">
        <v>481</v>
      </c>
      <c r="K47" s="1040"/>
      <c r="L47" s="1040"/>
    </row>
    <row r="48" spans="1:12" s="994" customFormat="1" ht="15.6" customHeight="1">
      <c r="J48" s="1040" t="s">
        <v>1107</v>
      </c>
      <c r="K48" s="1040"/>
      <c r="L48" s="1040"/>
    </row>
    <row r="49" spans="2:8" s="996" customFormat="1">
      <c r="B49" s="356"/>
      <c r="H49" s="357"/>
    </row>
  </sheetData>
  <mergeCells count="15">
    <mergeCell ref="A1:I1"/>
    <mergeCell ref="J1:K1"/>
    <mergeCell ref="A2:K2"/>
    <mergeCell ref="A4:K4"/>
    <mergeCell ref="J5:L5"/>
    <mergeCell ref="J46:L46"/>
    <mergeCell ref="J47:L47"/>
    <mergeCell ref="J48:L48"/>
    <mergeCell ref="A5:B5"/>
    <mergeCell ref="A42:B42"/>
    <mergeCell ref="A6:A7"/>
    <mergeCell ref="B6:B7"/>
    <mergeCell ref="C6:C7"/>
    <mergeCell ref="D6:H6"/>
    <mergeCell ref="I6:K6"/>
  </mergeCells>
  <printOptions horizontalCentered="1"/>
  <pageMargins left="0.70866141732283472" right="0.70866141732283472" top="0.63" bottom="0" header="0.79" footer="0.31496062992125984"/>
  <pageSetup paperSize="9" scale="77"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O46"/>
  <sheetViews>
    <sheetView topLeftCell="A34" zoomScaleSheetLayoutView="80" workbookViewId="0">
      <selection activeCell="E13" sqref="E13"/>
    </sheetView>
  </sheetViews>
  <sheetFormatPr defaultRowHeight="12.75"/>
  <cols>
    <col min="1" max="1" width="6.42578125" style="437" customWidth="1"/>
    <col min="2" max="2" width="12.85546875" style="437" customWidth="1"/>
    <col min="7" max="7" width="12.28515625" customWidth="1"/>
    <col min="8" max="8" width="11.5703125" customWidth="1"/>
    <col min="9" max="10" width="10.42578125" customWidth="1"/>
    <col min="11" max="11" width="13.140625" customWidth="1"/>
    <col min="12" max="12" width="12.7109375" customWidth="1"/>
    <col min="13" max="13" width="13.42578125" customWidth="1"/>
    <col min="14" max="14" width="10" customWidth="1"/>
    <col min="15" max="15" width="11.85546875" customWidth="1"/>
  </cols>
  <sheetData>
    <row r="1" spans="1:15" ht="18">
      <c r="A1" s="1176" t="s">
        <v>0</v>
      </c>
      <c r="B1" s="1176"/>
      <c r="C1" s="1176"/>
      <c r="D1" s="1176"/>
      <c r="E1" s="1176"/>
      <c r="F1" s="1176"/>
      <c r="G1" s="1176"/>
      <c r="H1" s="1176"/>
      <c r="I1" s="1176"/>
      <c r="J1" s="1176"/>
      <c r="K1" s="1176"/>
      <c r="L1" s="1176"/>
      <c r="M1" s="1176"/>
      <c r="N1" s="1176"/>
      <c r="O1" s="211" t="s">
        <v>526</v>
      </c>
    </row>
    <row r="2" spans="1:15" ht="21">
      <c r="A2" s="1177" t="s">
        <v>636</v>
      </c>
      <c r="B2" s="1177"/>
      <c r="C2" s="1177"/>
      <c r="D2" s="1177"/>
      <c r="E2" s="1177"/>
      <c r="F2" s="1177"/>
      <c r="G2" s="1177"/>
      <c r="H2" s="1177"/>
      <c r="I2" s="1177"/>
      <c r="J2" s="1177"/>
      <c r="K2" s="1177"/>
      <c r="L2" s="1177"/>
      <c r="M2" s="1177"/>
      <c r="N2" s="1177"/>
      <c r="O2" s="1177"/>
    </row>
    <row r="3" spans="1:15" ht="18">
      <c r="A3" s="1176" t="s">
        <v>525</v>
      </c>
      <c r="B3" s="1176"/>
      <c r="C3" s="1176"/>
      <c r="D3" s="1176"/>
      <c r="E3" s="1176"/>
      <c r="F3" s="1176"/>
      <c r="G3" s="1176"/>
      <c r="H3" s="1176"/>
      <c r="I3" s="1176"/>
      <c r="J3" s="1176"/>
      <c r="K3" s="1176"/>
      <c r="L3" s="1176"/>
      <c r="M3" s="1176"/>
      <c r="N3" s="1176"/>
      <c r="O3" s="1176"/>
    </row>
    <row r="4" spans="1:15" ht="15">
      <c r="A4" s="442" t="s">
        <v>905</v>
      </c>
      <c r="B4" s="442"/>
      <c r="C4" s="177"/>
      <c r="D4" s="177"/>
      <c r="E4" s="177"/>
      <c r="F4" s="177"/>
      <c r="G4" s="177"/>
      <c r="H4" s="177"/>
      <c r="I4" s="177"/>
      <c r="J4" s="177"/>
      <c r="K4" s="637"/>
      <c r="L4" s="638"/>
      <c r="M4" s="1304" t="s">
        <v>947</v>
      </c>
      <c r="N4" s="1304"/>
      <c r="O4" s="1304"/>
    </row>
    <row r="5" spans="1:15" s="781" customFormat="1" ht="44.25" customHeight="1">
      <c r="A5" s="1368" t="s">
        <v>2</v>
      </c>
      <c r="B5" s="1368" t="s">
        <v>3</v>
      </c>
      <c r="C5" s="1309" t="s">
        <v>312</v>
      </c>
      <c r="D5" s="1313" t="s">
        <v>313</v>
      </c>
      <c r="E5" s="1313" t="s">
        <v>314</v>
      </c>
      <c r="F5" s="1313" t="s">
        <v>315</v>
      </c>
      <c r="G5" s="1313" t="s">
        <v>316</v>
      </c>
      <c r="H5" s="1309" t="s">
        <v>317</v>
      </c>
      <c r="I5" s="1309"/>
      <c r="J5" s="1309" t="s">
        <v>318</v>
      </c>
      <c r="K5" s="1309"/>
      <c r="L5" s="1309" t="s">
        <v>319</v>
      </c>
      <c r="M5" s="1309"/>
      <c r="N5" s="1309" t="s">
        <v>320</v>
      </c>
      <c r="O5" s="1309"/>
    </row>
    <row r="6" spans="1:15" ht="60.75" customHeight="1">
      <c r="A6" s="1368"/>
      <c r="B6" s="1368"/>
      <c r="C6" s="1309"/>
      <c r="D6" s="1314"/>
      <c r="E6" s="1314"/>
      <c r="F6" s="1314"/>
      <c r="G6" s="1314"/>
      <c r="H6" s="639" t="s">
        <v>321</v>
      </c>
      <c r="I6" s="639" t="s">
        <v>322</v>
      </c>
      <c r="J6" s="639" t="s">
        <v>321</v>
      </c>
      <c r="K6" s="639" t="s">
        <v>322</v>
      </c>
      <c r="L6" s="639" t="s">
        <v>321</v>
      </c>
      <c r="M6" s="639" t="s">
        <v>322</v>
      </c>
      <c r="N6" s="639" t="s">
        <v>321</v>
      </c>
      <c r="O6" s="639" t="s">
        <v>322</v>
      </c>
    </row>
    <row r="7" spans="1:15" ht="15">
      <c r="A7" s="640" t="s">
        <v>268</v>
      </c>
      <c r="B7" s="640" t="s">
        <v>269</v>
      </c>
      <c r="C7" s="641" t="s">
        <v>270</v>
      </c>
      <c r="D7" s="641" t="s">
        <v>271</v>
      </c>
      <c r="E7" s="641" t="s">
        <v>272</v>
      </c>
      <c r="F7" s="641" t="s">
        <v>273</v>
      </c>
      <c r="G7" s="641" t="s">
        <v>274</v>
      </c>
      <c r="H7" s="641" t="s">
        <v>275</v>
      </c>
      <c r="I7" s="641" t="s">
        <v>293</v>
      </c>
      <c r="J7" s="641" t="s">
        <v>294</v>
      </c>
      <c r="K7" s="641" t="s">
        <v>295</v>
      </c>
      <c r="L7" s="641" t="s">
        <v>323</v>
      </c>
      <c r="M7" s="641" t="s">
        <v>324</v>
      </c>
      <c r="N7" s="641" t="s">
        <v>325</v>
      </c>
      <c r="O7" s="641" t="s">
        <v>326</v>
      </c>
    </row>
    <row r="8" spans="1:15" ht="15">
      <c r="A8" s="341">
        <v>1</v>
      </c>
      <c r="B8" s="443" t="s">
        <v>825</v>
      </c>
      <c r="C8" s="446">
        <f>'[1]AT_20A_CentralCookingagency '!D12</f>
        <v>2</v>
      </c>
      <c r="D8" s="642" t="s">
        <v>948</v>
      </c>
      <c r="E8" s="446">
        <f>'[1]AT_20A_CentralCookingagency '!E12</f>
        <v>497</v>
      </c>
      <c r="F8" s="643">
        <v>110540</v>
      </c>
      <c r="G8" s="643">
        <v>40</v>
      </c>
      <c r="H8" s="644">
        <v>2386.3180000000002</v>
      </c>
      <c r="I8" s="644">
        <v>2316.7860000000001</v>
      </c>
      <c r="J8" s="444">
        <v>973.62</v>
      </c>
      <c r="K8" s="444">
        <v>907.28</v>
      </c>
      <c r="L8" s="444">
        <v>48.25</v>
      </c>
      <c r="M8" s="444">
        <v>42.22</v>
      </c>
      <c r="N8" s="444">
        <f>H8*750/100000</f>
        <v>17.897385000000003</v>
      </c>
      <c r="O8" s="444">
        <v>17.14</v>
      </c>
    </row>
    <row r="9" spans="1:15" ht="15">
      <c r="A9" s="341">
        <v>2</v>
      </c>
      <c r="B9" s="443" t="s">
        <v>826</v>
      </c>
      <c r="C9" s="446">
        <f>'[1]AT_20A_CentralCookingagency '!D13</f>
        <v>0</v>
      </c>
      <c r="D9" s="645"/>
      <c r="E9" s="446">
        <f>'[1]AT_20A_CentralCookingagency '!E13</f>
        <v>0</v>
      </c>
      <c r="F9" s="643">
        <f>'[1]AT_20A_CentralCookingagency '!F13</f>
        <v>0</v>
      </c>
      <c r="G9" s="643">
        <v>0</v>
      </c>
      <c r="H9" s="644">
        <f t="shared" ref="H9:H31" si="0">F9*171*125/1000000</f>
        <v>0</v>
      </c>
      <c r="I9" s="644">
        <f t="shared" ref="I9:I40" si="1">F9*118*162/1000000</f>
        <v>0</v>
      </c>
      <c r="J9" s="444">
        <f t="shared" ref="J9:J40" si="2">F9*171*5.1/100000</f>
        <v>0</v>
      </c>
      <c r="K9" s="444">
        <f t="shared" ref="K9:K40" si="3">F9*162*4.5/100000</f>
        <v>0</v>
      </c>
      <c r="L9" s="444">
        <f>'[1]AT-29'!H10*8*1000/100000</f>
        <v>0</v>
      </c>
      <c r="M9" s="444">
        <f>'[1]AT-29'!K10</f>
        <v>0</v>
      </c>
      <c r="N9" s="444">
        <f t="shared" ref="N9:O39" si="4">H9*750/100000</f>
        <v>0</v>
      </c>
      <c r="O9" s="444">
        <f t="shared" si="4"/>
        <v>0</v>
      </c>
    </row>
    <row r="10" spans="1:15" ht="15">
      <c r="A10" s="341">
        <v>3</v>
      </c>
      <c r="B10" s="443" t="s">
        <v>827</v>
      </c>
      <c r="C10" s="446">
        <f>'[1]AT_20A_CentralCookingagency '!D14</f>
        <v>0</v>
      </c>
      <c r="D10" s="645"/>
      <c r="E10" s="446">
        <f>'[1]AT_20A_CentralCookingagency '!E14</f>
        <v>0</v>
      </c>
      <c r="F10" s="643">
        <f>'[1]AT_20A_CentralCookingagency '!F14</f>
        <v>0</v>
      </c>
      <c r="G10" s="643">
        <v>0</v>
      </c>
      <c r="H10" s="644">
        <f t="shared" si="0"/>
        <v>0</v>
      </c>
      <c r="I10" s="644">
        <f t="shared" si="1"/>
        <v>0</v>
      </c>
      <c r="J10" s="444">
        <f t="shared" si="2"/>
        <v>0</v>
      </c>
      <c r="K10" s="444">
        <f t="shared" si="3"/>
        <v>0</v>
      </c>
      <c r="L10" s="444">
        <v>0</v>
      </c>
      <c r="M10" s="444">
        <v>0</v>
      </c>
      <c r="N10" s="444">
        <f t="shared" si="4"/>
        <v>0</v>
      </c>
      <c r="O10" s="444">
        <f t="shared" si="4"/>
        <v>0</v>
      </c>
    </row>
    <row r="11" spans="1:15" ht="15">
      <c r="A11" s="341">
        <v>4</v>
      </c>
      <c r="B11" s="443" t="s">
        <v>828</v>
      </c>
      <c r="C11" s="446">
        <f>'[1]AT_20A_CentralCookingagency '!D15</f>
        <v>0</v>
      </c>
      <c r="D11" s="645"/>
      <c r="E11" s="446">
        <f>'[1]AT_20A_CentralCookingagency '!E15</f>
        <v>0</v>
      </c>
      <c r="F11" s="643">
        <f>'[1]AT_20A_CentralCookingagency '!F15</f>
        <v>0</v>
      </c>
      <c r="G11" s="643">
        <v>0</v>
      </c>
      <c r="H11" s="644">
        <f t="shared" si="0"/>
        <v>0</v>
      </c>
      <c r="I11" s="644">
        <f t="shared" si="1"/>
        <v>0</v>
      </c>
      <c r="J11" s="444">
        <f t="shared" si="2"/>
        <v>0</v>
      </c>
      <c r="K11" s="444">
        <f t="shared" si="3"/>
        <v>0</v>
      </c>
      <c r="L11" s="444">
        <v>0</v>
      </c>
      <c r="M11" s="444">
        <v>0</v>
      </c>
      <c r="N11" s="444">
        <f t="shared" si="4"/>
        <v>0</v>
      </c>
      <c r="O11" s="444">
        <f t="shared" si="4"/>
        <v>0</v>
      </c>
    </row>
    <row r="12" spans="1:15" ht="15">
      <c r="A12" s="341">
        <v>5</v>
      </c>
      <c r="B12" s="443" t="s">
        <v>829</v>
      </c>
      <c r="C12" s="446">
        <f>'[1]AT_20A_CentralCookingagency '!D16</f>
        <v>0</v>
      </c>
      <c r="D12" s="645"/>
      <c r="E12" s="446">
        <f>'[1]AT_20A_CentralCookingagency '!E16</f>
        <v>0</v>
      </c>
      <c r="F12" s="643">
        <f>'[1]AT_20A_CentralCookingagency '!F16</f>
        <v>0</v>
      </c>
      <c r="G12" s="643">
        <v>0</v>
      </c>
      <c r="H12" s="644">
        <f t="shared" si="0"/>
        <v>0</v>
      </c>
      <c r="I12" s="644">
        <f t="shared" si="1"/>
        <v>0</v>
      </c>
      <c r="J12" s="444">
        <f t="shared" si="2"/>
        <v>0</v>
      </c>
      <c r="K12" s="444">
        <f t="shared" si="3"/>
        <v>0</v>
      </c>
      <c r="L12" s="444">
        <v>0</v>
      </c>
      <c r="M12" s="444">
        <f>'[1]AT-29'!K13</f>
        <v>0</v>
      </c>
      <c r="N12" s="444">
        <f t="shared" si="4"/>
        <v>0</v>
      </c>
      <c r="O12" s="444">
        <f t="shared" si="4"/>
        <v>0</v>
      </c>
    </row>
    <row r="13" spans="1:15" ht="15">
      <c r="A13" s="341">
        <v>6</v>
      </c>
      <c r="B13" s="443" t="s">
        <v>830</v>
      </c>
      <c r="C13" s="446">
        <f>'[1]AT_20A_CentralCookingagency '!D17</f>
        <v>0</v>
      </c>
      <c r="D13" s="645"/>
      <c r="E13" s="446">
        <f>'[1]AT_20A_CentralCookingagency '!E17</f>
        <v>0</v>
      </c>
      <c r="F13" s="643">
        <f>'[1]AT_20A_CentralCookingagency '!F17</f>
        <v>0</v>
      </c>
      <c r="G13" s="643">
        <v>0</v>
      </c>
      <c r="H13" s="644">
        <f t="shared" si="0"/>
        <v>0</v>
      </c>
      <c r="I13" s="644">
        <f t="shared" si="1"/>
        <v>0</v>
      </c>
      <c r="J13" s="444">
        <f t="shared" si="2"/>
        <v>0</v>
      </c>
      <c r="K13" s="444">
        <f t="shared" si="3"/>
        <v>0</v>
      </c>
      <c r="L13" s="444">
        <v>0</v>
      </c>
      <c r="M13" s="444">
        <f>'[1]AT-29'!K14</f>
        <v>0</v>
      </c>
      <c r="N13" s="444">
        <f t="shared" si="4"/>
        <v>0</v>
      </c>
      <c r="O13" s="444">
        <f t="shared" si="4"/>
        <v>0</v>
      </c>
    </row>
    <row r="14" spans="1:15" ht="15">
      <c r="A14" s="341">
        <v>7</v>
      </c>
      <c r="B14" s="443" t="s">
        <v>831</v>
      </c>
      <c r="C14" s="446">
        <f>'[1]AT_20A_CentralCookingagency '!D18</f>
        <v>0</v>
      </c>
      <c r="D14" s="645"/>
      <c r="E14" s="446">
        <f>'[1]AT_20A_CentralCookingagency '!E18</f>
        <v>0</v>
      </c>
      <c r="F14" s="643">
        <f>'[1]AT_20A_CentralCookingagency '!F18</f>
        <v>0</v>
      </c>
      <c r="G14" s="643">
        <v>0</v>
      </c>
      <c r="H14" s="644">
        <f t="shared" si="0"/>
        <v>0</v>
      </c>
      <c r="I14" s="644">
        <f t="shared" si="1"/>
        <v>0</v>
      </c>
      <c r="J14" s="444">
        <f t="shared" si="2"/>
        <v>0</v>
      </c>
      <c r="K14" s="444">
        <f t="shared" si="3"/>
        <v>0</v>
      </c>
      <c r="L14" s="444">
        <v>0</v>
      </c>
      <c r="M14" s="444">
        <f>'[1]AT-29'!K15</f>
        <v>0</v>
      </c>
      <c r="N14" s="444">
        <f t="shared" si="4"/>
        <v>0</v>
      </c>
      <c r="O14" s="444">
        <f t="shared" si="4"/>
        <v>0</v>
      </c>
    </row>
    <row r="15" spans="1:15" ht="15">
      <c r="A15" s="341">
        <v>8</v>
      </c>
      <c r="B15" s="443" t="s">
        <v>832</v>
      </c>
      <c r="C15" s="446">
        <v>1</v>
      </c>
      <c r="D15" s="645" t="s">
        <v>949</v>
      </c>
      <c r="E15" s="446">
        <v>56</v>
      </c>
      <c r="F15" s="643">
        <v>13335</v>
      </c>
      <c r="G15" s="643">
        <v>0</v>
      </c>
      <c r="H15" s="644">
        <f t="shared" si="0"/>
        <v>285.03562499999998</v>
      </c>
      <c r="I15" s="644">
        <f t="shared" si="1"/>
        <v>254.91185999999999</v>
      </c>
      <c r="J15" s="444">
        <f t="shared" si="2"/>
        <v>116.294535</v>
      </c>
      <c r="K15" s="444">
        <f t="shared" si="3"/>
        <v>97.212149999999994</v>
      </c>
      <c r="L15" s="444">
        <v>0</v>
      </c>
      <c r="M15" s="444">
        <v>0</v>
      </c>
      <c r="N15" s="444">
        <f t="shared" si="4"/>
        <v>2.1377671875000002</v>
      </c>
      <c r="O15" s="444">
        <f t="shared" si="4"/>
        <v>1.9118389499999999</v>
      </c>
    </row>
    <row r="16" spans="1:15" ht="15">
      <c r="A16" s="341">
        <v>9</v>
      </c>
      <c r="B16" s="443" t="s">
        <v>833</v>
      </c>
      <c r="C16" s="446">
        <f>'[1]AT_20A_CentralCookingagency '!D20</f>
        <v>0</v>
      </c>
      <c r="D16" s="645"/>
      <c r="E16" s="446">
        <f>'[1]AT_20A_CentralCookingagency '!E20</f>
        <v>0</v>
      </c>
      <c r="F16" s="643">
        <f>'[1]AT_20A_CentralCookingagency '!F20</f>
        <v>0</v>
      </c>
      <c r="G16" s="643">
        <v>0</v>
      </c>
      <c r="H16" s="644">
        <f t="shared" si="0"/>
        <v>0</v>
      </c>
      <c r="I16" s="644">
        <f t="shared" si="1"/>
        <v>0</v>
      </c>
      <c r="J16" s="444">
        <f t="shared" si="2"/>
        <v>0</v>
      </c>
      <c r="K16" s="444">
        <f t="shared" si="3"/>
        <v>0</v>
      </c>
      <c r="L16" s="444">
        <v>0</v>
      </c>
      <c r="M16" s="444">
        <f>'[1]AT-29'!K17</f>
        <v>0</v>
      </c>
      <c r="N16" s="444">
        <f t="shared" si="4"/>
        <v>0</v>
      </c>
      <c r="O16" s="444">
        <f t="shared" si="4"/>
        <v>0</v>
      </c>
    </row>
    <row r="17" spans="1:15" ht="15">
      <c r="A17" s="341">
        <v>10</v>
      </c>
      <c r="B17" s="443" t="s">
        <v>834</v>
      </c>
      <c r="C17" s="446">
        <f>'[1]AT_20A_CentralCookingagency '!D21</f>
        <v>0</v>
      </c>
      <c r="D17" s="645"/>
      <c r="E17" s="446">
        <f>'[1]AT_20A_CentralCookingagency '!E21</f>
        <v>0</v>
      </c>
      <c r="F17" s="643">
        <f>'[1]AT_20A_CentralCookingagency '!F21</f>
        <v>0</v>
      </c>
      <c r="G17" s="643">
        <v>0</v>
      </c>
      <c r="H17" s="644">
        <f t="shared" si="0"/>
        <v>0</v>
      </c>
      <c r="I17" s="644">
        <f t="shared" si="1"/>
        <v>0</v>
      </c>
      <c r="J17" s="444">
        <f t="shared" si="2"/>
        <v>0</v>
      </c>
      <c r="K17" s="444">
        <f t="shared" si="3"/>
        <v>0</v>
      </c>
      <c r="L17" s="444">
        <f>'[1]AT-29'!H18*8*1000/100000</f>
        <v>0</v>
      </c>
      <c r="M17" s="444">
        <f>'[1]AT-29'!K18</f>
        <v>0</v>
      </c>
      <c r="N17" s="444">
        <f t="shared" si="4"/>
        <v>0</v>
      </c>
      <c r="O17" s="444">
        <f t="shared" si="4"/>
        <v>0</v>
      </c>
    </row>
    <row r="18" spans="1:15" s="437" customFormat="1" ht="15">
      <c r="A18" s="341">
        <v>11</v>
      </c>
      <c r="B18" s="443" t="s">
        <v>835</v>
      </c>
      <c r="C18" s="446">
        <f>'[1]AT_20A_CentralCookingagency '!D22</f>
        <v>1</v>
      </c>
      <c r="D18" s="645" t="s">
        <v>949</v>
      </c>
      <c r="E18" s="446">
        <f>'[1]AT_20A_CentralCookingagency '!E22</f>
        <v>430</v>
      </c>
      <c r="F18" s="643">
        <v>79158</v>
      </c>
      <c r="G18" s="643">
        <v>40</v>
      </c>
      <c r="H18" s="644">
        <f t="shared" si="0"/>
        <v>1692.00225</v>
      </c>
      <c r="I18" s="644">
        <v>1611.654</v>
      </c>
      <c r="J18" s="444">
        <f t="shared" si="2"/>
        <v>690.33691799999997</v>
      </c>
      <c r="K18" s="444">
        <v>618.53</v>
      </c>
      <c r="L18" s="444">
        <f>'[1]AT-29'!H19*8*1000/100000</f>
        <v>40.4</v>
      </c>
      <c r="M18" s="444">
        <f>'[1]AT-29'!K19</f>
        <v>35.35</v>
      </c>
      <c r="N18" s="444">
        <f t="shared" si="4"/>
        <v>12.690016875</v>
      </c>
      <c r="O18" s="444">
        <v>11.98</v>
      </c>
    </row>
    <row r="19" spans="1:15" ht="15">
      <c r="A19" s="341">
        <v>12</v>
      </c>
      <c r="B19" s="443" t="s">
        <v>836</v>
      </c>
      <c r="C19" s="446">
        <f>'[1]AT_20A_CentralCookingagency '!D23</f>
        <v>0</v>
      </c>
      <c r="D19" s="645"/>
      <c r="E19" s="446">
        <f>'[1]AT_20A_CentralCookingagency '!E23</f>
        <v>0</v>
      </c>
      <c r="F19" s="643">
        <f>'[1]AT_20A_CentralCookingagency '!F23</f>
        <v>0</v>
      </c>
      <c r="G19" s="643">
        <v>0</v>
      </c>
      <c r="H19" s="644">
        <f t="shared" si="0"/>
        <v>0</v>
      </c>
      <c r="I19" s="644">
        <f t="shared" si="1"/>
        <v>0</v>
      </c>
      <c r="J19" s="444">
        <f t="shared" si="2"/>
        <v>0</v>
      </c>
      <c r="K19" s="444">
        <f t="shared" si="3"/>
        <v>0</v>
      </c>
      <c r="L19" s="444">
        <f>'[1]AT-29'!H20*8*1000/100000</f>
        <v>0</v>
      </c>
      <c r="M19" s="444">
        <f>'[1]AT-29'!K20</f>
        <v>0</v>
      </c>
      <c r="N19" s="444">
        <f t="shared" si="4"/>
        <v>0</v>
      </c>
      <c r="O19" s="444">
        <f t="shared" si="4"/>
        <v>0</v>
      </c>
    </row>
    <row r="20" spans="1:15" ht="15">
      <c r="A20" s="341">
        <v>13</v>
      </c>
      <c r="B20" s="443" t="s">
        <v>837</v>
      </c>
      <c r="C20" s="446">
        <f>'[1]AT_20A_CentralCookingagency '!D24</f>
        <v>0</v>
      </c>
      <c r="D20" s="645"/>
      <c r="E20" s="446">
        <f>'[1]AT_20A_CentralCookingagency '!E24</f>
        <v>0</v>
      </c>
      <c r="F20" s="643">
        <f>'[1]AT_20A_CentralCookingagency '!F24</f>
        <v>0</v>
      </c>
      <c r="G20" s="643">
        <v>0</v>
      </c>
      <c r="H20" s="644">
        <f t="shared" si="0"/>
        <v>0</v>
      </c>
      <c r="I20" s="644">
        <f t="shared" si="1"/>
        <v>0</v>
      </c>
      <c r="J20" s="444">
        <f t="shared" si="2"/>
        <v>0</v>
      </c>
      <c r="K20" s="444">
        <f t="shared" si="3"/>
        <v>0</v>
      </c>
      <c r="L20" s="444">
        <f>'[1]AT-29'!H21*8*1000/100000</f>
        <v>0</v>
      </c>
      <c r="M20" s="444">
        <f>'[1]AT-29'!K21</f>
        <v>0</v>
      </c>
      <c r="N20" s="444">
        <f t="shared" si="4"/>
        <v>0</v>
      </c>
      <c r="O20" s="444">
        <f t="shared" si="4"/>
        <v>0</v>
      </c>
    </row>
    <row r="21" spans="1:15" ht="15">
      <c r="A21" s="341">
        <v>14</v>
      </c>
      <c r="B21" s="443" t="s">
        <v>838</v>
      </c>
      <c r="C21" s="446">
        <f>'[1]AT_20A_CentralCookingagency '!D25</f>
        <v>0</v>
      </c>
      <c r="D21" s="645"/>
      <c r="E21" s="446">
        <f>'[1]AT_20A_CentralCookingagency '!E25</f>
        <v>0</v>
      </c>
      <c r="F21" s="643">
        <f>'[1]AT_20A_CentralCookingagency '!F25</f>
        <v>0</v>
      </c>
      <c r="G21" s="643">
        <v>0</v>
      </c>
      <c r="H21" s="644">
        <f t="shared" si="0"/>
        <v>0</v>
      </c>
      <c r="I21" s="644">
        <f t="shared" si="1"/>
        <v>0</v>
      </c>
      <c r="J21" s="444">
        <f t="shared" si="2"/>
        <v>0</v>
      </c>
      <c r="K21" s="444">
        <f t="shared" si="3"/>
        <v>0</v>
      </c>
      <c r="L21" s="444">
        <v>0</v>
      </c>
      <c r="M21" s="444">
        <v>0</v>
      </c>
      <c r="N21" s="444">
        <f t="shared" si="4"/>
        <v>0</v>
      </c>
      <c r="O21" s="444">
        <f t="shared" si="4"/>
        <v>0</v>
      </c>
    </row>
    <row r="22" spans="1:15" ht="15">
      <c r="A22" s="341">
        <v>15</v>
      </c>
      <c r="B22" s="443" t="s">
        <v>839</v>
      </c>
      <c r="C22" s="446">
        <f>'[1]AT_20A_CentralCookingagency '!D26</f>
        <v>0</v>
      </c>
      <c r="D22" s="645"/>
      <c r="E22" s="446">
        <f>'[1]AT_20A_CentralCookingagency '!E26</f>
        <v>0</v>
      </c>
      <c r="F22" s="643">
        <f>'[1]AT_20A_CentralCookingagency '!F26</f>
        <v>0</v>
      </c>
      <c r="G22" s="320">
        <v>0</v>
      </c>
      <c r="H22" s="644">
        <f t="shared" si="0"/>
        <v>0</v>
      </c>
      <c r="I22" s="644">
        <f t="shared" si="1"/>
        <v>0</v>
      </c>
      <c r="J22" s="444">
        <f t="shared" si="2"/>
        <v>0</v>
      </c>
      <c r="K22" s="444">
        <f t="shared" si="3"/>
        <v>0</v>
      </c>
      <c r="L22" s="444">
        <f>'[1]AT-29'!H23*8*1000/100000</f>
        <v>0</v>
      </c>
      <c r="M22" s="444">
        <f>'[1]AT-29'!K23</f>
        <v>0</v>
      </c>
      <c r="N22" s="444">
        <f t="shared" si="4"/>
        <v>0</v>
      </c>
      <c r="O22" s="444">
        <f t="shared" si="4"/>
        <v>0</v>
      </c>
    </row>
    <row r="23" spans="1:15" ht="15">
      <c r="A23" s="341">
        <v>16</v>
      </c>
      <c r="B23" s="443" t="s">
        <v>840</v>
      </c>
      <c r="C23" s="446">
        <f>'[1]AT_20A_CentralCookingagency '!D27</f>
        <v>0</v>
      </c>
      <c r="D23" s="645"/>
      <c r="E23" s="446">
        <f>'[1]AT_20A_CentralCookingagency '!E27</f>
        <v>0</v>
      </c>
      <c r="F23" s="643">
        <f>'[1]AT_20A_CentralCookingagency '!F27</f>
        <v>0</v>
      </c>
      <c r="G23" s="320">
        <v>0</v>
      </c>
      <c r="H23" s="644">
        <f t="shared" si="0"/>
        <v>0</v>
      </c>
      <c r="I23" s="644">
        <f t="shared" si="1"/>
        <v>0</v>
      </c>
      <c r="J23" s="444">
        <f t="shared" si="2"/>
        <v>0</v>
      </c>
      <c r="K23" s="444">
        <f t="shared" si="3"/>
        <v>0</v>
      </c>
      <c r="L23" s="444">
        <f>'[1]AT-29'!H24*8*1000/100000</f>
        <v>0</v>
      </c>
      <c r="M23" s="444">
        <f>'[1]AT-29'!K24</f>
        <v>0</v>
      </c>
      <c r="N23" s="444">
        <f t="shared" si="4"/>
        <v>0</v>
      </c>
      <c r="O23" s="444">
        <f t="shared" si="4"/>
        <v>0</v>
      </c>
    </row>
    <row r="24" spans="1:15" ht="15">
      <c r="A24" s="341">
        <v>17</v>
      </c>
      <c r="B24" s="443" t="s">
        <v>841</v>
      </c>
      <c r="C24" s="446">
        <f>'[1]AT_20A_CentralCookingagency '!D28</f>
        <v>0</v>
      </c>
      <c r="D24" s="645"/>
      <c r="E24" s="446">
        <f>'[1]AT_20A_CentralCookingagency '!E28</f>
        <v>0</v>
      </c>
      <c r="F24" s="643">
        <f>'[1]AT_20A_CentralCookingagency '!F28</f>
        <v>0</v>
      </c>
      <c r="G24" s="320">
        <v>0</v>
      </c>
      <c r="H24" s="644">
        <f t="shared" si="0"/>
        <v>0</v>
      </c>
      <c r="I24" s="644">
        <f t="shared" si="1"/>
        <v>0</v>
      </c>
      <c r="J24" s="444">
        <f t="shared" si="2"/>
        <v>0</v>
      </c>
      <c r="K24" s="444">
        <f t="shared" si="3"/>
        <v>0</v>
      </c>
      <c r="L24" s="444">
        <f>'[1]AT-29'!H25*8*1000/100000</f>
        <v>0</v>
      </c>
      <c r="M24" s="444">
        <f>'[1]AT-29'!K25</f>
        <v>0</v>
      </c>
      <c r="N24" s="444">
        <f t="shared" si="4"/>
        <v>0</v>
      </c>
      <c r="O24" s="444">
        <f t="shared" si="4"/>
        <v>0</v>
      </c>
    </row>
    <row r="25" spans="1:15" ht="15">
      <c r="A25" s="341">
        <v>18</v>
      </c>
      <c r="B25" s="443" t="s">
        <v>842</v>
      </c>
      <c r="C25" s="446">
        <f>'[1]AT_20A_CentralCookingagency '!D29</f>
        <v>0</v>
      </c>
      <c r="D25" s="645"/>
      <c r="E25" s="446">
        <f>'[1]AT_20A_CentralCookingagency '!E29</f>
        <v>0</v>
      </c>
      <c r="F25" s="643">
        <f>'[1]AT_20A_CentralCookingagency '!F29</f>
        <v>0</v>
      </c>
      <c r="G25" s="320">
        <v>0</v>
      </c>
      <c r="H25" s="644">
        <f t="shared" si="0"/>
        <v>0</v>
      </c>
      <c r="I25" s="644">
        <f t="shared" si="1"/>
        <v>0</v>
      </c>
      <c r="J25" s="444">
        <f t="shared" si="2"/>
        <v>0</v>
      </c>
      <c r="K25" s="444">
        <f t="shared" si="3"/>
        <v>0</v>
      </c>
      <c r="L25" s="444">
        <f>'[1]AT-29'!H26*8*1000/100000</f>
        <v>0</v>
      </c>
      <c r="M25" s="444">
        <f>'[1]AT-29'!K26</f>
        <v>0</v>
      </c>
      <c r="N25" s="444">
        <f t="shared" si="4"/>
        <v>0</v>
      </c>
      <c r="O25" s="444">
        <f t="shared" si="4"/>
        <v>0</v>
      </c>
    </row>
    <row r="26" spans="1:15" ht="15">
      <c r="A26" s="341">
        <v>19</v>
      </c>
      <c r="B26" s="443" t="s">
        <v>843</v>
      </c>
      <c r="C26" s="446">
        <v>1</v>
      </c>
      <c r="D26" s="642" t="s">
        <v>950</v>
      </c>
      <c r="E26" s="446">
        <v>85</v>
      </c>
      <c r="F26" s="643">
        <v>21000</v>
      </c>
      <c r="G26" s="320">
        <v>40</v>
      </c>
      <c r="H26" s="644">
        <f t="shared" si="0"/>
        <v>448.875</v>
      </c>
      <c r="I26" s="644">
        <f t="shared" si="1"/>
        <v>401.43599999999998</v>
      </c>
      <c r="J26" s="444">
        <f t="shared" si="2"/>
        <v>183.14099999999999</v>
      </c>
      <c r="K26" s="444">
        <f t="shared" si="3"/>
        <v>153.09</v>
      </c>
      <c r="L26" s="444">
        <v>0</v>
      </c>
      <c r="M26" s="444">
        <v>0</v>
      </c>
      <c r="N26" s="444">
        <f t="shared" si="4"/>
        <v>3.3665625000000001</v>
      </c>
      <c r="O26" s="444">
        <f t="shared" si="4"/>
        <v>3.0107699999999999</v>
      </c>
    </row>
    <row r="27" spans="1:15" ht="15">
      <c r="A27" s="341">
        <v>20</v>
      </c>
      <c r="B27" s="443" t="s">
        <v>844</v>
      </c>
      <c r="C27" s="446">
        <f>'[1]AT_20A_CentralCookingagency '!D31</f>
        <v>0</v>
      </c>
      <c r="D27" s="645"/>
      <c r="E27" s="446">
        <f>'[1]AT_20A_CentralCookingagency '!E31</f>
        <v>0</v>
      </c>
      <c r="F27" s="643">
        <f>'[1]AT_20A_CentralCookingagency '!F31</f>
        <v>0</v>
      </c>
      <c r="G27" s="320">
        <v>0</v>
      </c>
      <c r="H27" s="644">
        <f t="shared" si="0"/>
        <v>0</v>
      </c>
      <c r="I27" s="644">
        <f t="shared" si="1"/>
        <v>0</v>
      </c>
      <c r="J27" s="444">
        <f t="shared" si="2"/>
        <v>0</v>
      </c>
      <c r="K27" s="444">
        <f t="shared" si="3"/>
        <v>0</v>
      </c>
      <c r="L27" s="444">
        <f>'[1]AT-29'!H28*8*1000/100000</f>
        <v>0</v>
      </c>
      <c r="M27" s="444">
        <f>'[1]AT-29'!K28</f>
        <v>0</v>
      </c>
      <c r="N27" s="444">
        <f t="shared" si="4"/>
        <v>0</v>
      </c>
      <c r="O27" s="444">
        <f t="shared" si="4"/>
        <v>0</v>
      </c>
    </row>
    <row r="28" spans="1:15" ht="15">
      <c r="A28" s="341">
        <v>21</v>
      </c>
      <c r="B28" s="443" t="s">
        <v>845</v>
      </c>
      <c r="C28" s="446">
        <f>'[1]AT_20A_CentralCookingagency '!D32</f>
        <v>1</v>
      </c>
      <c r="D28" s="645" t="s">
        <v>949</v>
      </c>
      <c r="E28" s="446">
        <f>'[1]AT_20A_CentralCookingagency '!E32</f>
        <v>350</v>
      </c>
      <c r="F28" s="643">
        <v>95437</v>
      </c>
      <c r="G28" s="320">
        <v>35</v>
      </c>
      <c r="H28" s="644">
        <f t="shared" si="0"/>
        <v>2039.9658750000001</v>
      </c>
      <c r="I28" s="644">
        <v>1832.624</v>
      </c>
      <c r="J28" s="444">
        <f t="shared" si="2"/>
        <v>832.30607699999985</v>
      </c>
      <c r="K28" s="444">
        <v>712.56</v>
      </c>
      <c r="L28" s="444">
        <f>'[1]AT-29'!H29*8*1000/100000</f>
        <v>41.6</v>
      </c>
      <c r="M28" s="444">
        <f>'[1]AT-29'!K29</f>
        <v>36.4</v>
      </c>
      <c r="N28" s="444">
        <f t="shared" si="4"/>
        <v>15.2997440625</v>
      </c>
      <c r="O28" s="444">
        <v>13.54</v>
      </c>
    </row>
    <row r="29" spans="1:15">
      <c r="A29" s="341">
        <v>22</v>
      </c>
      <c r="B29" s="443" t="s">
        <v>846</v>
      </c>
      <c r="C29" s="446">
        <f>'[1]AT_20A_CentralCookingagency '!D33</f>
        <v>0</v>
      </c>
      <c r="D29" s="445"/>
      <c r="E29" s="446">
        <f>'[1]AT_20A_CentralCookingagency '!E33</f>
        <v>0</v>
      </c>
      <c r="F29" s="643">
        <f>'[1]AT_20A_CentralCookingagency '!F33</f>
        <v>0</v>
      </c>
      <c r="G29" s="320">
        <v>0</v>
      </c>
      <c r="H29" s="644">
        <f t="shared" si="0"/>
        <v>0</v>
      </c>
      <c r="I29" s="644">
        <f t="shared" si="1"/>
        <v>0</v>
      </c>
      <c r="J29" s="444">
        <f t="shared" si="2"/>
        <v>0</v>
      </c>
      <c r="K29" s="444">
        <f t="shared" si="3"/>
        <v>0</v>
      </c>
      <c r="L29" s="444">
        <f>'[1]AT-29'!H30*8*1000/100000</f>
        <v>0</v>
      </c>
      <c r="M29" s="444">
        <f>'[1]AT-29'!K30</f>
        <v>0</v>
      </c>
      <c r="N29" s="444">
        <f t="shared" si="4"/>
        <v>0</v>
      </c>
      <c r="O29" s="444">
        <f t="shared" si="4"/>
        <v>0</v>
      </c>
    </row>
    <row r="30" spans="1:15" ht="15">
      <c r="A30" s="341">
        <v>23</v>
      </c>
      <c r="B30" s="443" t="s">
        <v>847</v>
      </c>
      <c r="C30" s="446">
        <f>'[1]AT_20A_CentralCookingagency '!D34</f>
        <v>1</v>
      </c>
      <c r="D30" s="645" t="s">
        <v>949</v>
      </c>
      <c r="E30" s="446">
        <v>624</v>
      </c>
      <c r="F30" s="643">
        <v>80366</v>
      </c>
      <c r="G30" s="320">
        <v>25</v>
      </c>
      <c r="H30" s="644">
        <f t="shared" si="0"/>
        <v>1717.8232499999999</v>
      </c>
      <c r="I30" s="644">
        <v>1632.5619999999999</v>
      </c>
      <c r="J30" s="444">
        <f t="shared" si="2"/>
        <v>700.8718859999999</v>
      </c>
      <c r="K30" s="444">
        <v>609.78</v>
      </c>
      <c r="L30" s="444">
        <f>'[1]AT-29'!H31*8*1000/100000</f>
        <v>58.56</v>
      </c>
      <c r="M30" s="444">
        <f>'[1]AT-29'!K31</f>
        <v>51.239999999999995</v>
      </c>
      <c r="N30" s="444">
        <f t="shared" si="4"/>
        <v>12.883674375</v>
      </c>
      <c r="O30" s="444">
        <v>12.01</v>
      </c>
    </row>
    <row r="31" spans="1:15" ht="15">
      <c r="A31" s="341">
        <v>24</v>
      </c>
      <c r="B31" s="443" t="s">
        <v>848</v>
      </c>
      <c r="C31" s="446">
        <f>'[1]AT_20A_CentralCookingagency '!D35</f>
        <v>1</v>
      </c>
      <c r="D31" s="642" t="s">
        <v>950</v>
      </c>
      <c r="E31" s="446">
        <f>'[1]AT_20A_CentralCookingagency '!E35</f>
        <v>545</v>
      </c>
      <c r="F31" s="643">
        <v>66000</v>
      </c>
      <c r="G31" s="320">
        <v>55</v>
      </c>
      <c r="H31" s="644">
        <f t="shared" si="0"/>
        <v>1410.75</v>
      </c>
      <c r="I31" s="644">
        <v>1229.5319999999999</v>
      </c>
      <c r="J31" s="444">
        <f t="shared" si="2"/>
        <v>575.5859999999999</v>
      </c>
      <c r="K31" s="444">
        <v>498.12</v>
      </c>
      <c r="L31" s="444">
        <f>'[1]AT-29'!H32*8*1000/100000</f>
        <v>52.4</v>
      </c>
      <c r="M31" s="444">
        <f>'[1]AT-29'!K32</f>
        <v>45.85</v>
      </c>
      <c r="N31" s="444">
        <f t="shared" si="4"/>
        <v>10.580625</v>
      </c>
      <c r="O31" s="444">
        <v>9.18</v>
      </c>
    </row>
    <row r="32" spans="1:15" ht="15">
      <c r="A32" s="341">
        <v>25</v>
      </c>
      <c r="B32" s="443" t="s">
        <v>849</v>
      </c>
      <c r="C32" s="446">
        <f>'[1]AT_20A_CentralCookingagency '!D36</f>
        <v>1</v>
      </c>
      <c r="D32" s="645" t="s">
        <v>909</v>
      </c>
      <c r="E32" s="446">
        <f>'[1]AT_20A_CentralCookingagency '!E36</f>
        <v>740</v>
      </c>
      <c r="F32" s="643">
        <v>72164</v>
      </c>
      <c r="G32" s="320">
        <v>55</v>
      </c>
      <c r="H32" s="644">
        <v>1303.4849999999999</v>
      </c>
      <c r="I32" s="644">
        <v>1298.3240000000001</v>
      </c>
      <c r="J32" s="444">
        <f t="shared" si="2"/>
        <v>629.34224399999994</v>
      </c>
      <c r="K32" s="444">
        <v>549.58000000000004</v>
      </c>
      <c r="L32" s="444">
        <f>'[1]AT-29'!H33*8*1000/100000</f>
        <v>68.88</v>
      </c>
      <c r="M32" s="444">
        <f>'[1]AT-29'!K33</f>
        <v>60.269999999999996</v>
      </c>
      <c r="N32" s="444">
        <f t="shared" si="4"/>
        <v>9.776137499999999</v>
      </c>
      <c r="O32" s="444">
        <v>9.52</v>
      </c>
    </row>
    <row r="33" spans="1:15">
      <c r="A33" s="341">
        <v>26</v>
      </c>
      <c r="B33" s="443" t="s">
        <v>850</v>
      </c>
      <c r="C33" s="446">
        <f>'[1]AT_20A_CentralCookingagency '!D37</f>
        <v>0</v>
      </c>
      <c r="D33" s="446"/>
      <c r="E33" s="446">
        <f>'[1]AT_20A_CentralCookingagency '!E37</f>
        <v>0</v>
      </c>
      <c r="F33" s="643">
        <f>'[1]AT_20A_CentralCookingagency '!F37</f>
        <v>0</v>
      </c>
      <c r="G33" s="320">
        <v>0</v>
      </c>
      <c r="H33" s="644">
        <f t="shared" ref="H33:H40" si="5">F33*162*125/1000000</f>
        <v>0</v>
      </c>
      <c r="I33" s="644">
        <f t="shared" si="1"/>
        <v>0</v>
      </c>
      <c r="J33" s="444">
        <f t="shared" si="2"/>
        <v>0</v>
      </c>
      <c r="K33" s="444">
        <f t="shared" si="3"/>
        <v>0</v>
      </c>
      <c r="L33" s="444">
        <f>'[1]AT-29'!H34*8*1000/100000</f>
        <v>0</v>
      </c>
      <c r="M33" s="444">
        <f>'[1]AT-29'!K34</f>
        <v>0</v>
      </c>
      <c r="N33" s="444">
        <f t="shared" si="4"/>
        <v>0</v>
      </c>
      <c r="O33" s="444">
        <f t="shared" si="4"/>
        <v>0</v>
      </c>
    </row>
    <row r="34" spans="1:15">
      <c r="A34" s="341">
        <v>27</v>
      </c>
      <c r="B34" s="443" t="s">
        <v>851</v>
      </c>
      <c r="C34" s="446">
        <f>'[1]AT_20A_CentralCookingagency '!D38</f>
        <v>0</v>
      </c>
      <c r="D34" s="446"/>
      <c r="E34" s="446">
        <f>'[1]AT_20A_CentralCookingagency '!E38</f>
        <v>0</v>
      </c>
      <c r="F34" s="643">
        <f>'[1]AT_20A_CentralCookingagency '!F38</f>
        <v>0</v>
      </c>
      <c r="G34" s="320">
        <v>0</v>
      </c>
      <c r="H34" s="644">
        <f t="shared" si="5"/>
        <v>0</v>
      </c>
      <c r="I34" s="644">
        <f t="shared" si="1"/>
        <v>0</v>
      </c>
      <c r="J34" s="444">
        <f t="shared" si="2"/>
        <v>0</v>
      </c>
      <c r="K34" s="444">
        <f t="shared" si="3"/>
        <v>0</v>
      </c>
      <c r="L34" s="444">
        <f>'[1]AT-29'!H35*8*1000/100000</f>
        <v>0</v>
      </c>
      <c r="M34" s="444">
        <f>'[1]AT-29'!K35</f>
        <v>0</v>
      </c>
      <c r="N34" s="444">
        <f t="shared" si="4"/>
        <v>0</v>
      </c>
      <c r="O34" s="444">
        <f t="shared" si="4"/>
        <v>0</v>
      </c>
    </row>
    <row r="35" spans="1:15">
      <c r="A35" s="341">
        <v>28</v>
      </c>
      <c r="B35" s="443" t="s">
        <v>852</v>
      </c>
      <c r="C35" s="446">
        <f>'[1]AT_20A_CentralCookingagency '!D39</f>
        <v>0</v>
      </c>
      <c r="D35" s="446"/>
      <c r="E35" s="446">
        <f>'[1]AT_20A_CentralCookingagency '!E39</f>
        <v>0</v>
      </c>
      <c r="F35" s="643">
        <f>'[1]AT_20A_CentralCookingagency '!F39</f>
        <v>0</v>
      </c>
      <c r="G35" s="320">
        <v>0</v>
      </c>
      <c r="H35" s="644">
        <f t="shared" si="5"/>
        <v>0</v>
      </c>
      <c r="I35" s="644">
        <f t="shared" si="1"/>
        <v>0</v>
      </c>
      <c r="J35" s="444">
        <f t="shared" si="2"/>
        <v>0</v>
      </c>
      <c r="K35" s="444">
        <f t="shared" si="3"/>
        <v>0</v>
      </c>
      <c r="L35" s="444">
        <f>'[1]AT-29'!H36*8*1000/100000</f>
        <v>0</v>
      </c>
      <c r="M35" s="444">
        <f>'[1]AT-29'!K36</f>
        <v>0</v>
      </c>
      <c r="N35" s="444">
        <f t="shared" si="4"/>
        <v>0</v>
      </c>
      <c r="O35" s="444">
        <f t="shared" si="4"/>
        <v>0</v>
      </c>
    </row>
    <row r="36" spans="1:15">
      <c r="A36" s="341">
        <v>29</v>
      </c>
      <c r="B36" s="443" t="s">
        <v>853</v>
      </c>
      <c r="C36" s="446">
        <f>'[1]AT_20A_CentralCookingagency '!D40</f>
        <v>0</v>
      </c>
      <c r="D36" s="446"/>
      <c r="E36" s="446">
        <f>'[1]AT_20A_CentralCookingagency '!E40</f>
        <v>0</v>
      </c>
      <c r="F36" s="643">
        <f>'[1]AT_20A_CentralCookingagency '!F40</f>
        <v>0</v>
      </c>
      <c r="G36" s="320">
        <v>0</v>
      </c>
      <c r="H36" s="644">
        <f t="shared" si="5"/>
        <v>0</v>
      </c>
      <c r="I36" s="644">
        <f t="shared" si="1"/>
        <v>0</v>
      </c>
      <c r="J36" s="444">
        <f t="shared" si="2"/>
        <v>0</v>
      </c>
      <c r="K36" s="444">
        <f t="shared" si="3"/>
        <v>0</v>
      </c>
      <c r="L36" s="444">
        <f>'[1]AT-29'!H37*8*1000/100000</f>
        <v>0</v>
      </c>
      <c r="M36" s="444">
        <f>'[1]AT-29'!K37</f>
        <v>0</v>
      </c>
      <c r="N36" s="444">
        <f t="shared" si="4"/>
        <v>0</v>
      </c>
      <c r="O36" s="444">
        <f t="shared" si="4"/>
        <v>0</v>
      </c>
    </row>
    <row r="37" spans="1:15">
      <c r="A37" s="341">
        <v>30</v>
      </c>
      <c r="B37" s="443" t="s">
        <v>854</v>
      </c>
      <c r="C37" s="446">
        <f>'[1]AT_20A_CentralCookingagency '!D41</f>
        <v>0</v>
      </c>
      <c r="D37" s="446"/>
      <c r="E37" s="446">
        <f>'[1]AT_20A_CentralCookingagency '!E41</f>
        <v>0</v>
      </c>
      <c r="F37" s="643">
        <f>'[1]AT_20A_CentralCookingagency '!F41</f>
        <v>0</v>
      </c>
      <c r="G37" s="320">
        <v>0</v>
      </c>
      <c r="H37" s="644">
        <f t="shared" si="5"/>
        <v>0</v>
      </c>
      <c r="I37" s="644">
        <f t="shared" si="1"/>
        <v>0</v>
      </c>
      <c r="J37" s="444">
        <f t="shared" si="2"/>
        <v>0</v>
      </c>
      <c r="K37" s="444">
        <f t="shared" si="3"/>
        <v>0</v>
      </c>
      <c r="L37" s="444">
        <f>'[1]AT-29'!H38*8*1000/100000</f>
        <v>0</v>
      </c>
      <c r="M37" s="444">
        <f>'[1]AT-29'!K38</f>
        <v>0</v>
      </c>
      <c r="N37" s="444">
        <f t="shared" si="4"/>
        <v>0</v>
      </c>
      <c r="O37" s="444">
        <f t="shared" si="4"/>
        <v>0</v>
      </c>
    </row>
    <row r="38" spans="1:15">
      <c r="A38" s="341">
        <v>31</v>
      </c>
      <c r="B38" s="443" t="s">
        <v>855</v>
      </c>
      <c r="C38" s="446">
        <f>'[1]AT_20A_CentralCookingagency '!D42</f>
        <v>0</v>
      </c>
      <c r="D38" s="446"/>
      <c r="E38" s="446">
        <f>'[1]AT_20A_CentralCookingagency '!E42</f>
        <v>0</v>
      </c>
      <c r="F38" s="643">
        <f>'[1]AT_20A_CentralCookingagency '!F42</f>
        <v>0</v>
      </c>
      <c r="G38" s="320">
        <v>0</v>
      </c>
      <c r="H38" s="644">
        <f t="shared" si="5"/>
        <v>0</v>
      </c>
      <c r="I38" s="644">
        <f t="shared" si="1"/>
        <v>0</v>
      </c>
      <c r="J38" s="444">
        <f t="shared" si="2"/>
        <v>0</v>
      </c>
      <c r="K38" s="444">
        <f t="shared" si="3"/>
        <v>0</v>
      </c>
      <c r="L38" s="444">
        <f>'[1]AT-29'!H39*8*1000/100000</f>
        <v>0</v>
      </c>
      <c r="M38" s="444">
        <f>'[1]AT-29'!K39</f>
        <v>0</v>
      </c>
      <c r="N38" s="444">
        <f t="shared" si="4"/>
        <v>0</v>
      </c>
      <c r="O38" s="444">
        <f t="shared" si="4"/>
        <v>0</v>
      </c>
    </row>
    <row r="39" spans="1:15">
      <c r="A39" s="341">
        <v>32</v>
      </c>
      <c r="B39" s="443" t="s">
        <v>856</v>
      </c>
      <c r="C39" s="446">
        <f>'[1]AT_20A_CentralCookingagency '!D43</f>
        <v>0</v>
      </c>
      <c r="D39" s="446"/>
      <c r="E39" s="446">
        <f>'[1]AT_20A_CentralCookingagency '!E43</f>
        <v>0</v>
      </c>
      <c r="F39" s="643">
        <f>'[1]AT_20A_CentralCookingagency '!F43</f>
        <v>0</v>
      </c>
      <c r="G39" s="320">
        <v>0</v>
      </c>
      <c r="H39" s="644">
        <f t="shared" si="5"/>
        <v>0</v>
      </c>
      <c r="I39" s="644">
        <f t="shared" si="1"/>
        <v>0</v>
      </c>
      <c r="J39" s="444">
        <f t="shared" si="2"/>
        <v>0</v>
      </c>
      <c r="K39" s="444">
        <f t="shared" si="3"/>
        <v>0</v>
      </c>
      <c r="L39" s="444">
        <f>'[1]AT-29'!H40*8*1000/100000</f>
        <v>0</v>
      </c>
      <c r="M39" s="444">
        <f>'[1]AT-29'!K40</f>
        <v>0</v>
      </c>
      <c r="N39" s="444">
        <f t="shared" si="4"/>
        <v>0</v>
      </c>
      <c r="O39" s="444">
        <f t="shared" si="4"/>
        <v>0</v>
      </c>
    </row>
    <row r="40" spans="1:15">
      <c r="A40" s="341">
        <v>33</v>
      </c>
      <c r="B40" s="443" t="s">
        <v>857</v>
      </c>
      <c r="C40" s="446">
        <f>'[1]AT_20A_CentralCookingagency '!D44</f>
        <v>0</v>
      </c>
      <c r="D40" s="446"/>
      <c r="E40" s="446">
        <f>'[1]AT_20A_CentralCookingagency '!E44</f>
        <v>0</v>
      </c>
      <c r="F40" s="643">
        <f>'[1]AT_20A_CentralCookingagency '!F44</f>
        <v>0</v>
      </c>
      <c r="G40" s="320">
        <v>0</v>
      </c>
      <c r="H40" s="644">
        <f t="shared" si="5"/>
        <v>0</v>
      </c>
      <c r="I40" s="644">
        <f t="shared" si="1"/>
        <v>0</v>
      </c>
      <c r="J40" s="444">
        <f t="shared" si="2"/>
        <v>0</v>
      </c>
      <c r="K40" s="444">
        <f t="shared" si="3"/>
        <v>0</v>
      </c>
      <c r="L40" s="444">
        <f>'[1]AT-29'!H41*8*1000/100000</f>
        <v>0</v>
      </c>
      <c r="M40" s="444">
        <f>'[1]AT-29'!K41</f>
        <v>0</v>
      </c>
      <c r="N40" s="444">
        <v>0</v>
      </c>
      <c r="O40" s="444">
        <v>0</v>
      </c>
    </row>
    <row r="41" spans="1:15">
      <c r="A41" s="1461" t="s">
        <v>18</v>
      </c>
      <c r="B41" s="1462"/>
      <c r="C41" s="447">
        <f>SUM(C8:C40)</f>
        <v>9</v>
      </c>
      <c r="D41" s="447">
        <f t="shared" ref="D41:O41" si="6">SUM(D8:D40)</f>
        <v>0</v>
      </c>
      <c r="E41" s="447">
        <f>SUM(E8:E40)</f>
        <v>3327</v>
      </c>
      <c r="F41" s="447">
        <f>SUM(F8:F40)</f>
        <v>538000</v>
      </c>
      <c r="G41" s="447">
        <v>0</v>
      </c>
      <c r="H41" s="447">
        <f t="shared" si="6"/>
        <v>11284.255000000001</v>
      </c>
      <c r="I41" s="447">
        <f t="shared" si="6"/>
        <v>10577.82986</v>
      </c>
      <c r="J41" s="425">
        <f t="shared" si="6"/>
        <v>4701.4986599999993</v>
      </c>
      <c r="K41" s="425">
        <f t="shared" si="6"/>
        <v>4146.152149999999</v>
      </c>
      <c r="L41" s="425">
        <f>SUM(L8:L40)</f>
        <v>310.09000000000003</v>
      </c>
      <c r="M41" s="425">
        <f t="shared" si="6"/>
        <v>271.33</v>
      </c>
      <c r="N41" s="425">
        <f t="shared" si="6"/>
        <v>84.631912499999999</v>
      </c>
      <c r="O41" s="425">
        <f t="shared" si="6"/>
        <v>78.292608950000002</v>
      </c>
    </row>
    <row r="44" spans="1:15" s="994" customFormat="1" ht="15.75" customHeight="1">
      <c r="A44" s="15" t="s">
        <v>12</v>
      </c>
      <c r="B44" s="15"/>
      <c r="C44" s="15"/>
      <c r="M44" s="1040" t="s">
        <v>1106</v>
      </c>
      <c r="N44" s="1040"/>
      <c r="O44" s="1040"/>
    </row>
    <row r="45" spans="1:15" s="994" customFormat="1" ht="15.6" customHeight="1">
      <c r="M45" s="1040" t="s">
        <v>481</v>
      </c>
      <c r="N45" s="1040"/>
      <c r="O45" s="1040"/>
    </row>
    <row r="46" spans="1:15" s="994" customFormat="1" ht="15.6" customHeight="1">
      <c r="M46" s="1040" t="s">
        <v>1107</v>
      </c>
      <c r="N46" s="1040"/>
      <c r="O46" s="1040"/>
    </row>
  </sheetData>
  <mergeCells count="19">
    <mergeCell ref="A1:N1"/>
    <mergeCell ref="A2:O2"/>
    <mergeCell ref="M4:O4"/>
    <mergeCell ref="A5:A6"/>
    <mergeCell ref="B5:B6"/>
    <mergeCell ref="C5:C6"/>
    <mergeCell ref="D5:D6"/>
    <mergeCell ref="E5:E6"/>
    <mergeCell ref="A3:O3"/>
    <mergeCell ref="F5:F6"/>
    <mergeCell ref="G5:G6"/>
    <mergeCell ref="H5:I5"/>
    <mergeCell ref="J5:K5"/>
    <mergeCell ref="L5:M5"/>
    <mergeCell ref="N5:O5"/>
    <mergeCell ref="A41:B41"/>
    <mergeCell ref="M44:O44"/>
    <mergeCell ref="M45:O45"/>
    <mergeCell ref="M46:O46"/>
  </mergeCells>
  <printOptions horizontalCentered="1"/>
  <pageMargins left="0.70866141732283472" right="0.70866141732283472" top="0.63" bottom="0" header="0.79"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V32"/>
  <sheetViews>
    <sheetView topLeftCell="R8" zoomScale="58" zoomScaleNormal="58" zoomScaleSheetLayoutView="86" workbookViewId="0">
      <selection activeCell="E13" sqref="E13"/>
    </sheetView>
  </sheetViews>
  <sheetFormatPr defaultRowHeight="12.75"/>
  <cols>
    <col min="1" max="1" width="4.85546875" customWidth="1"/>
    <col min="2" max="2" width="19.5703125" customWidth="1"/>
    <col min="3" max="3" width="12.42578125" customWidth="1"/>
    <col min="4" max="4" width="9" bestFit="1" customWidth="1"/>
    <col min="5" max="5" width="12" customWidth="1"/>
    <col min="6" max="6" width="13" customWidth="1"/>
    <col min="7" max="7" width="11.28515625" customWidth="1"/>
    <col min="8" max="8" width="12" customWidth="1"/>
    <col min="9" max="9" width="11.42578125" customWidth="1"/>
    <col min="10" max="11" width="11.28515625" bestFit="1" customWidth="1"/>
    <col min="12" max="12" width="10" bestFit="1" customWidth="1"/>
    <col min="13" max="13" width="11" customWidth="1"/>
    <col min="14" max="14" width="10.140625" customWidth="1"/>
    <col min="15" max="15" width="11.28515625" bestFit="1" customWidth="1"/>
    <col min="16" max="16" width="14" customWidth="1"/>
    <col min="17" max="18" width="11.28515625" bestFit="1" customWidth="1"/>
    <col min="19" max="19" width="12.42578125" bestFit="1" customWidth="1"/>
    <col min="20" max="20" width="9.85546875" customWidth="1"/>
    <col min="21" max="21" width="12.42578125" bestFit="1" customWidth="1"/>
    <col min="22" max="22" width="10.140625" customWidth="1"/>
    <col min="28" max="28" width="11" customWidth="1"/>
    <col min="29" max="30" width="8.85546875" hidden="1" customWidth="1"/>
  </cols>
  <sheetData>
    <row r="1" spans="1:256" ht="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row>
    <row r="2" spans="1:256" ht="15">
      <c r="A2" s="48"/>
      <c r="B2" s="48"/>
      <c r="C2" s="48"/>
      <c r="D2" s="48"/>
      <c r="E2" s="48"/>
      <c r="F2" s="48"/>
      <c r="G2" s="1033"/>
      <c r="H2" s="1033"/>
      <c r="I2" s="1033"/>
      <c r="J2" s="1033"/>
      <c r="K2" s="1033"/>
      <c r="L2" s="1033"/>
      <c r="M2" s="1033"/>
      <c r="N2" s="1033"/>
      <c r="O2" s="1033"/>
      <c r="P2" s="143"/>
      <c r="Q2" s="143"/>
      <c r="R2" s="143"/>
      <c r="S2" s="48"/>
      <c r="T2" s="662" t="s">
        <v>60</v>
      </c>
      <c r="U2" s="48"/>
      <c r="V2" s="48"/>
      <c r="W2" s="48"/>
      <c r="X2" s="48"/>
      <c r="Y2" s="48"/>
      <c r="Z2" s="48"/>
      <c r="AA2" s="48"/>
      <c r="AB2" s="48"/>
      <c r="AC2" s="48"/>
      <c r="AD2" s="48"/>
    </row>
    <row r="3" spans="1:256" ht="15">
      <c r="A3" s="1033" t="s">
        <v>58</v>
      </c>
      <c r="B3" s="1033"/>
      <c r="C3" s="1033"/>
      <c r="D3" s="1033"/>
      <c r="E3" s="1033"/>
      <c r="F3" s="1033"/>
      <c r="G3" s="1033"/>
      <c r="H3" s="1033"/>
      <c r="I3" s="1033"/>
      <c r="J3" s="1033"/>
      <c r="K3" s="1033"/>
      <c r="L3" s="1033"/>
      <c r="M3" s="1033"/>
      <c r="N3" s="1033"/>
      <c r="O3" s="1033"/>
      <c r="P3" s="1033"/>
      <c r="Q3" s="1033"/>
      <c r="R3" s="1033"/>
      <c r="S3" s="1033"/>
      <c r="T3" s="1033"/>
      <c r="U3" s="1033"/>
      <c r="V3" s="48"/>
      <c r="W3" s="48"/>
      <c r="X3" s="48"/>
      <c r="Y3" s="48"/>
      <c r="Z3" s="48"/>
      <c r="AA3" s="48"/>
      <c r="AB3" s="48"/>
      <c r="AC3" s="48"/>
      <c r="AD3" s="48"/>
    </row>
    <row r="4" spans="1:256" ht="15.75">
      <c r="A4" s="1033" t="s">
        <v>636</v>
      </c>
      <c r="B4" s="1033"/>
      <c r="C4" s="1033"/>
      <c r="D4" s="1033"/>
      <c r="E4" s="1033"/>
      <c r="F4" s="1033"/>
      <c r="G4" s="1033"/>
      <c r="H4" s="1033"/>
      <c r="I4" s="1033"/>
      <c r="J4" s="1033"/>
      <c r="K4" s="1033"/>
      <c r="L4" s="1033"/>
      <c r="M4" s="1033"/>
      <c r="N4" s="1033"/>
      <c r="O4" s="1033"/>
      <c r="P4" s="1033"/>
      <c r="Q4" s="1033"/>
      <c r="R4" s="1033"/>
      <c r="S4" s="1033"/>
      <c r="T4" s="1033"/>
      <c r="U4" s="1033"/>
      <c r="V4" s="48"/>
      <c r="W4" s="48"/>
      <c r="X4" s="48"/>
      <c r="Y4" s="48"/>
      <c r="Z4" s="48"/>
      <c r="AA4" s="48"/>
      <c r="AB4" s="48"/>
      <c r="AC4" s="48"/>
      <c r="AD4" s="48"/>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ht="1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256" ht="15">
      <c r="A6" s="1148" t="s">
        <v>638</v>
      </c>
      <c r="B6" s="1148"/>
      <c r="C6" s="1148"/>
      <c r="D6" s="1148"/>
      <c r="E6" s="1148"/>
      <c r="F6" s="1148"/>
      <c r="G6" s="1148"/>
      <c r="H6" s="1148"/>
      <c r="I6" s="1148"/>
      <c r="J6" s="1148"/>
      <c r="K6" s="1148"/>
      <c r="L6" s="1148"/>
      <c r="M6" s="1148"/>
      <c r="N6" s="1148"/>
      <c r="O6" s="1148"/>
      <c r="P6" s="1148"/>
      <c r="Q6" s="1148"/>
      <c r="R6" s="1148"/>
      <c r="S6" s="1148"/>
      <c r="T6" s="1148"/>
      <c r="U6" s="1148"/>
      <c r="V6" s="48"/>
      <c r="W6" s="48"/>
      <c r="X6" s="48"/>
      <c r="Y6" s="48"/>
      <c r="Z6" s="48"/>
      <c r="AA6" s="48"/>
      <c r="AB6" s="48"/>
      <c r="AC6" s="48"/>
      <c r="AD6" s="48"/>
    </row>
    <row r="7" spans="1:256" ht="15">
      <c r="A7" s="648"/>
      <c r="B7" s="648"/>
      <c r="C7" s="648"/>
      <c r="D7" s="648"/>
      <c r="E7" s="648"/>
      <c r="F7" s="648"/>
      <c r="G7" s="648"/>
      <c r="H7" s="648"/>
      <c r="I7" s="648"/>
      <c r="J7" s="648"/>
      <c r="K7" s="648"/>
      <c r="L7" s="648"/>
      <c r="M7" s="648"/>
      <c r="N7" s="648"/>
      <c r="O7" s="648"/>
      <c r="P7" s="663"/>
      <c r="Q7" s="648"/>
      <c r="R7" s="648"/>
      <c r="S7" s="648"/>
      <c r="T7" s="648"/>
      <c r="U7" s="648"/>
      <c r="V7" s="48"/>
      <c r="W7" s="48"/>
      <c r="X7" s="48"/>
      <c r="Y7" s="48"/>
      <c r="Z7" s="48"/>
      <c r="AA7" s="48"/>
      <c r="AB7" s="48"/>
      <c r="AC7" s="48"/>
      <c r="AD7" s="48"/>
    </row>
    <row r="8" spans="1:256" ht="15">
      <c r="A8" s="1126" t="s">
        <v>1047</v>
      </c>
      <c r="B8" s="1126"/>
      <c r="C8" s="1126"/>
      <c r="D8" s="649"/>
      <c r="E8" s="649"/>
      <c r="F8" s="649"/>
      <c r="G8" s="648"/>
      <c r="H8" s="648"/>
      <c r="I8" s="648"/>
      <c r="J8" s="648"/>
      <c r="K8" s="648"/>
      <c r="L8" s="648"/>
      <c r="M8" s="648"/>
      <c r="N8" s="648"/>
      <c r="O8" s="648"/>
      <c r="P8" s="648"/>
      <c r="Q8" s="648"/>
      <c r="R8" s="648"/>
      <c r="S8" s="648"/>
      <c r="T8" s="648"/>
      <c r="U8" s="648"/>
      <c r="V8" s="48"/>
      <c r="W8" s="48"/>
      <c r="X8" s="48"/>
      <c r="Y8" s="48"/>
      <c r="Z8" s="48"/>
      <c r="AA8" s="48"/>
      <c r="AB8" s="48"/>
      <c r="AC8" s="48"/>
      <c r="AD8" s="48"/>
    </row>
    <row r="9" spans="1:256" ht="1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row>
    <row r="10" spans="1:256" ht="15">
      <c r="A10" s="48"/>
      <c r="B10" s="48"/>
      <c r="C10" s="48"/>
      <c r="D10" s="48"/>
      <c r="E10" s="48"/>
      <c r="F10" s="48"/>
      <c r="G10" s="48"/>
      <c r="H10" s="48"/>
      <c r="I10" s="48"/>
      <c r="J10" s="48"/>
      <c r="K10" s="48"/>
      <c r="L10" s="48"/>
      <c r="M10" s="48"/>
      <c r="N10" s="48"/>
      <c r="O10" s="48"/>
      <c r="P10" s="48"/>
      <c r="Q10" s="48"/>
      <c r="R10" s="48"/>
      <c r="S10" s="48"/>
      <c r="T10" s="48"/>
      <c r="U10" s="1143" t="s">
        <v>462</v>
      </c>
      <c r="V10" s="1143"/>
      <c r="W10" s="48"/>
      <c r="X10" s="48"/>
      <c r="Y10" s="48"/>
      <c r="Z10" s="48"/>
      <c r="AA10" s="48"/>
      <c r="AB10" s="1127"/>
      <c r="AC10" s="1127"/>
      <c r="AD10" s="1127"/>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c r="A11" s="1128" t="s">
        <v>2</v>
      </c>
      <c r="B11" s="1128" t="s">
        <v>110</v>
      </c>
      <c r="C11" s="1131" t="s">
        <v>155</v>
      </c>
      <c r="D11" s="1132"/>
      <c r="E11" s="1132"/>
      <c r="F11" s="1133"/>
      <c r="G11" s="1140" t="s">
        <v>796</v>
      </c>
      <c r="H11" s="1141"/>
      <c r="I11" s="1141"/>
      <c r="J11" s="1141"/>
      <c r="K11" s="1141"/>
      <c r="L11" s="1141"/>
      <c r="M11" s="1141"/>
      <c r="N11" s="1141"/>
      <c r="O11" s="1141"/>
      <c r="P11" s="1141"/>
      <c r="Q11" s="1141"/>
      <c r="R11" s="1142"/>
      <c r="S11" s="1144" t="s">
        <v>253</v>
      </c>
      <c r="T11" s="1145"/>
      <c r="U11" s="1145"/>
      <c r="V11" s="1145"/>
      <c r="W11" s="139"/>
      <c r="X11" s="139"/>
      <c r="Y11" s="139"/>
      <c r="Z11" s="139"/>
      <c r="AA11" s="139"/>
      <c r="AB11" s="139"/>
      <c r="AC11" s="139"/>
      <c r="AD11" s="139"/>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5">
      <c r="A12" s="1129"/>
      <c r="B12" s="1129"/>
      <c r="C12" s="1134"/>
      <c r="D12" s="1135"/>
      <c r="E12" s="1135"/>
      <c r="F12" s="1136"/>
      <c r="G12" s="1137" t="s">
        <v>177</v>
      </c>
      <c r="H12" s="1138"/>
      <c r="I12" s="1138"/>
      <c r="J12" s="1139"/>
      <c r="K12" s="1137" t="s">
        <v>178</v>
      </c>
      <c r="L12" s="1138"/>
      <c r="M12" s="1138"/>
      <c r="N12" s="1139"/>
      <c r="O12" s="1044" t="s">
        <v>18</v>
      </c>
      <c r="P12" s="1044"/>
      <c r="Q12" s="1044"/>
      <c r="R12" s="1044"/>
      <c r="S12" s="1146"/>
      <c r="T12" s="1147"/>
      <c r="U12" s="1147"/>
      <c r="V12" s="1147"/>
      <c r="W12" s="139"/>
      <c r="X12" s="139"/>
      <c r="Y12" s="139"/>
      <c r="Z12" s="139"/>
      <c r="AA12" s="139"/>
      <c r="AB12" s="139"/>
      <c r="AC12" s="139"/>
      <c r="AD12" s="139"/>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60">
      <c r="A13" s="664"/>
      <c r="B13" s="664"/>
      <c r="C13" s="327" t="s">
        <v>254</v>
      </c>
      <c r="D13" s="327" t="s">
        <v>255</v>
      </c>
      <c r="E13" s="327" t="s">
        <v>256</v>
      </c>
      <c r="F13" s="327" t="s">
        <v>89</v>
      </c>
      <c r="G13" s="327" t="s">
        <v>254</v>
      </c>
      <c r="H13" s="327" t="s">
        <v>255</v>
      </c>
      <c r="I13" s="327" t="s">
        <v>256</v>
      </c>
      <c r="J13" s="327" t="s">
        <v>18</v>
      </c>
      <c r="K13" s="327" t="s">
        <v>254</v>
      </c>
      <c r="L13" s="327" t="s">
        <v>255</v>
      </c>
      <c r="M13" s="327" t="s">
        <v>256</v>
      </c>
      <c r="N13" s="327" t="s">
        <v>89</v>
      </c>
      <c r="O13" s="327" t="s">
        <v>254</v>
      </c>
      <c r="P13" s="327" t="s">
        <v>255</v>
      </c>
      <c r="Q13" s="327" t="s">
        <v>256</v>
      </c>
      <c r="R13" s="327" t="s">
        <v>18</v>
      </c>
      <c r="S13" s="45" t="s">
        <v>458</v>
      </c>
      <c r="T13" s="45" t="s">
        <v>459</v>
      </c>
      <c r="U13" s="45" t="s">
        <v>460</v>
      </c>
      <c r="V13" s="665" t="s">
        <v>461</v>
      </c>
      <c r="W13" s="139"/>
      <c r="X13" s="139"/>
      <c r="Y13" s="139"/>
      <c r="Z13" s="139"/>
      <c r="AA13" s="139"/>
      <c r="AB13" s="139"/>
      <c r="AC13" s="139"/>
      <c r="AD13" s="139"/>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4.25">
      <c r="A14" s="666">
        <v>1</v>
      </c>
      <c r="B14" s="667">
        <v>2</v>
      </c>
      <c r="C14" s="666">
        <v>3</v>
      </c>
      <c r="D14" s="666">
        <v>4</v>
      </c>
      <c r="E14" s="667">
        <v>5</v>
      </c>
      <c r="F14" s="666">
        <v>6</v>
      </c>
      <c r="G14" s="666">
        <v>7</v>
      </c>
      <c r="H14" s="667">
        <v>8</v>
      </c>
      <c r="I14" s="666">
        <v>9</v>
      </c>
      <c r="J14" s="666">
        <v>10</v>
      </c>
      <c r="K14" s="667">
        <v>11</v>
      </c>
      <c r="L14" s="666">
        <v>12</v>
      </c>
      <c r="M14" s="666">
        <v>13</v>
      </c>
      <c r="N14" s="667">
        <v>14</v>
      </c>
      <c r="O14" s="666">
        <v>15</v>
      </c>
      <c r="P14" s="666">
        <v>16</v>
      </c>
      <c r="Q14" s="667">
        <v>17</v>
      </c>
      <c r="R14" s="666">
        <v>18</v>
      </c>
      <c r="S14" s="666">
        <v>19</v>
      </c>
      <c r="T14" s="667">
        <v>20</v>
      </c>
      <c r="U14" s="666">
        <v>21</v>
      </c>
      <c r="V14" s="666">
        <v>22</v>
      </c>
      <c r="W14" s="668"/>
      <c r="X14" s="668"/>
      <c r="Y14" s="668"/>
      <c r="Z14" s="668"/>
      <c r="AA14" s="668"/>
      <c r="AB14" s="668"/>
      <c r="AC14" s="668"/>
      <c r="AD14" s="668"/>
      <c r="AE14" s="146"/>
      <c r="AF14" s="146"/>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30">
      <c r="A15" s="44"/>
      <c r="B15" s="669" t="s">
        <v>240</v>
      </c>
      <c r="C15" s="44"/>
      <c r="D15" s="44"/>
      <c r="E15" s="44"/>
      <c r="F15" s="670"/>
      <c r="G15" s="44"/>
      <c r="H15" s="44"/>
      <c r="I15" s="44"/>
      <c r="J15" s="670"/>
      <c r="K15" s="44"/>
      <c r="L15" s="44"/>
      <c r="M15" s="44"/>
      <c r="N15" s="44"/>
      <c r="O15" s="44"/>
      <c r="P15" s="44"/>
      <c r="Q15" s="44"/>
      <c r="R15" s="44"/>
      <c r="S15" s="44"/>
      <c r="T15" s="571"/>
      <c r="U15" s="571"/>
      <c r="V15" s="571"/>
      <c r="W15" s="650"/>
      <c r="X15" s="650"/>
      <c r="Y15" s="650"/>
      <c r="Z15" s="650"/>
      <c r="AA15" s="650"/>
      <c r="AB15" s="650"/>
      <c r="AC15" s="650"/>
      <c r="AD15" s="650"/>
      <c r="AE15" s="112"/>
      <c r="AF15" s="112"/>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30">
      <c r="A16" s="44">
        <v>1</v>
      </c>
      <c r="B16" s="669" t="s">
        <v>183</v>
      </c>
      <c r="C16" s="671">
        <v>2262.4056</v>
      </c>
      <c r="D16" s="671">
        <v>314.22300000000001</v>
      </c>
      <c r="E16" s="672">
        <v>565.60140000000001</v>
      </c>
      <c r="F16" s="673">
        <f>E16+D16+C16</f>
        <v>3142.23</v>
      </c>
      <c r="G16" s="674">
        <f>1795.41+462.25</f>
        <v>2257.66</v>
      </c>
      <c r="H16" s="674">
        <f>44.52+172.92</f>
        <v>217.44</v>
      </c>
      <c r="I16" s="674">
        <f>106.46+413.48</f>
        <v>519.94000000000005</v>
      </c>
      <c r="J16" s="674">
        <f>I16+H16+G16</f>
        <v>2995.04</v>
      </c>
      <c r="K16" s="675">
        <v>0</v>
      </c>
      <c r="L16" s="675">
        <v>0</v>
      </c>
      <c r="M16" s="675">
        <v>0</v>
      </c>
      <c r="N16" s="675">
        <f t="shared" ref="N16:N21" si="0">K16+L16+M16</f>
        <v>0</v>
      </c>
      <c r="O16" s="44">
        <f>G16+K16</f>
        <v>2257.66</v>
      </c>
      <c r="P16" s="44">
        <f t="shared" ref="P16:R20" si="1">H16+L16</f>
        <v>217.44</v>
      </c>
      <c r="Q16" s="44">
        <f t="shared" si="1"/>
        <v>519.94000000000005</v>
      </c>
      <c r="R16" s="44">
        <f t="shared" si="1"/>
        <v>2995.04</v>
      </c>
      <c r="S16" s="672">
        <f>C16-O16</f>
        <v>4.745600000000195</v>
      </c>
      <c r="T16" s="672">
        <f>D16-P16</f>
        <v>96.783000000000015</v>
      </c>
      <c r="U16" s="672">
        <f t="shared" ref="T16:V20" si="2">E16-Q16</f>
        <v>45.661399999999958</v>
      </c>
      <c r="V16" s="672">
        <f t="shared" si="2"/>
        <v>147.19000000000005</v>
      </c>
      <c r="W16" s="650"/>
      <c r="X16" s="650"/>
      <c r="Y16" s="650"/>
      <c r="Z16" s="650"/>
      <c r="AA16" s="650"/>
      <c r="AB16" s="650"/>
      <c r="AC16" s="650"/>
      <c r="AD16" s="650"/>
      <c r="AE16" s="112"/>
      <c r="AF16" s="112"/>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32" ht="15">
      <c r="A17" s="44">
        <v>2</v>
      </c>
      <c r="B17" s="676" t="s">
        <v>127</v>
      </c>
      <c r="C17" s="671">
        <v>36962.481599999999</v>
      </c>
      <c r="D17" s="671">
        <v>5133.6779999999999</v>
      </c>
      <c r="E17" s="677">
        <v>9240.6203999999998</v>
      </c>
      <c r="F17" s="673">
        <f t="shared" ref="F17:F25" si="3">E17+D17+C17</f>
        <v>51336.78</v>
      </c>
      <c r="G17" s="678">
        <f>4646.88+18552.78</f>
        <v>23199.66</v>
      </c>
      <c r="H17" s="678">
        <f>447.55+1786.86</f>
        <v>2234.41</v>
      </c>
      <c r="I17" s="678">
        <f>1070.18+4272.7</f>
        <v>5342.88</v>
      </c>
      <c r="J17" s="674">
        <f>I17+H17+G17</f>
        <v>30776.95</v>
      </c>
      <c r="K17" s="571">
        <f>3097.9+12368.51</f>
        <v>15466.41</v>
      </c>
      <c r="L17" s="571">
        <f>298.37+1191.24</f>
        <v>1489.6100000000001</v>
      </c>
      <c r="M17" s="571">
        <f>713.45+2848.47</f>
        <v>3561.92</v>
      </c>
      <c r="N17" s="44">
        <f t="shared" si="0"/>
        <v>20517.940000000002</v>
      </c>
      <c r="O17" s="44">
        <f>G17+K17</f>
        <v>38666.07</v>
      </c>
      <c r="P17" s="44">
        <f t="shared" si="1"/>
        <v>3724.02</v>
      </c>
      <c r="Q17" s="44">
        <f t="shared" si="1"/>
        <v>8904.7999999999993</v>
      </c>
      <c r="R17" s="44">
        <f t="shared" si="1"/>
        <v>51294.89</v>
      </c>
      <c r="S17" s="672">
        <f>C17-O17</f>
        <v>-1703.5884000000005</v>
      </c>
      <c r="T17" s="672">
        <f t="shared" si="2"/>
        <v>1409.6579999999999</v>
      </c>
      <c r="U17" s="672">
        <f t="shared" si="2"/>
        <v>335.82040000000052</v>
      </c>
      <c r="V17" s="672">
        <f t="shared" si="2"/>
        <v>41.889999999999418</v>
      </c>
      <c r="W17" s="48"/>
      <c r="X17" s="48"/>
      <c r="Y17" s="1126"/>
      <c r="Z17" s="1126"/>
      <c r="AA17" s="1126"/>
      <c r="AB17" s="1126"/>
      <c r="AC17" s="48"/>
      <c r="AD17" s="48"/>
    </row>
    <row r="18" spans="1:32" ht="30">
      <c r="A18" s="44">
        <v>3</v>
      </c>
      <c r="B18" s="669" t="s">
        <v>128</v>
      </c>
      <c r="C18" s="671">
        <v>671.99759999999992</v>
      </c>
      <c r="D18" s="671">
        <v>93.332999999999998</v>
      </c>
      <c r="E18" s="677">
        <v>167.99939999999998</v>
      </c>
      <c r="F18" s="673">
        <f t="shared" si="3"/>
        <v>933.32999999999993</v>
      </c>
      <c r="G18" s="678">
        <f>137.36+549.46</f>
        <v>686.82</v>
      </c>
      <c r="H18" s="678">
        <f>13.23+52.92</f>
        <v>66.150000000000006</v>
      </c>
      <c r="I18" s="678">
        <f>31.64+126.55</f>
        <v>158.19</v>
      </c>
      <c r="J18" s="674">
        <f>I18+H18+G18</f>
        <v>911.16000000000008</v>
      </c>
      <c r="K18" s="679">
        <v>0</v>
      </c>
      <c r="L18" s="679">
        <v>0</v>
      </c>
      <c r="M18" s="679">
        <v>0</v>
      </c>
      <c r="N18" s="675">
        <f t="shared" si="0"/>
        <v>0</v>
      </c>
      <c r="O18" s="44">
        <f>G18+K18</f>
        <v>686.82</v>
      </c>
      <c r="P18" s="44">
        <f t="shared" si="1"/>
        <v>66.150000000000006</v>
      </c>
      <c r="Q18" s="44">
        <f t="shared" si="1"/>
        <v>158.19</v>
      </c>
      <c r="R18" s="44">
        <f t="shared" si="1"/>
        <v>911.16000000000008</v>
      </c>
      <c r="S18" s="672">
        <f>C18-O18</f>
        <v>-14.82240000000013</v>
      </c>
      <c r="T18" s="672">
        <f t="shared" si="2"/>
        <v>27.182999999999993</v>
      </c>
      <c r="U18" s="672">
        <f t="shared" si="2"/>
        <v>9.8093999999999824</v>
      </c>
      <c r="V18" s="672">
        <f t="shared" si="2"/>
        <v>22.169999999999845</v>
      </c>
      <c r="W18" s="48"/>
      <c r="X18" s="48"/>
      <c r="Y18" s="48"/>
      <c r="Z18" s="48"/>
      <c r="AA18" s="48"/>
      <c r="AB18" s="48"/>
      <c r="AC18" s="48"/>
      <c r="AD18" s="48"/>
    </row>
    <row r="19" spans="1:32" ht="15">
      <c r="A19" s="44">
        <v>4</v>
      </c>
      <c r="B19" s="676" t="s">
        <v>129</v>
      </c>
      <c r="C19" s="671">
        <v>523.15200000000004</v>
      </c>
      <c r="D19" s="671">
        <v>72.66</v>
      </c>
      <c r="E19" s="677">
        <v>130.78800000000001</v>
      </c>
      <c r="F19" s="673">
        <f t="shared" si="3"/>
        <v>726.6</v>
      </c>
      <c r="G19" s="678">
        <f>109.28+437.11</f>
        <v>546.39</v>
      </c>
      <c r="H19" s="678">
        <f>10.52+42.09</f>
        <v>52.61</v>
      </c>
      <c r="I19" s="678">
        <f>25.17+100.68</f>
        <v>125.85000000000001</v>
      </c>
      <c r="J19" s="674">
        <f>I19+H19+G19</f>
        <v>724.85</v>
      </c>
      <c r="K19" s="679">
        <v>0</v>
      </c>
      <c r="L19" s="679">
        <v>0</v>
      </c>
      <c r="M19" s="679">
        <v>0</v>
      </c>
      <c r="N19" s="675">
        <f t="shared" si="0"/>
        <v>0</v>
      </c>
      <c r="O19" s="44">
        <f>G19+K19</f>
        <v>546.39</v>
      </c>
      <c r="P19" s="44">
        <f t="shared" si="1"/>
        <v>52.61</v>
      </c>
      <c r="Q19" s="44">
        <f t="shared" si="1"/>
        <v>125.85000000000001</v>
      </c>
      <c r="R19" s="44">
        <f t="shared" si="1"/>
        <v>724.85</v>
      </c>
      <c r="S19" s="672">
        <f>C19-O19</f>
        <v>-23.237999999999943</v>
      </c>
      <c r="T19" s="672">
        <f t="shared" si="2"/>
        <v>20.049999999999997</v>
      </c>
      <c r="U19" s="672">
        <f t="shared" si="2"/>
        <v>4.9380000000000024</v>
      </c>
      <c r="V19" s="672">
        <f t="shared" si="2"/>
        <v>1.75</v>
      </c>
      <c r="W19" s="48"/>
      <c r="X19" s="48"/>
      <c r="Y19" s="48"/>
      <c r="Z19" s="48"/>
      <c r="AA19" s="48"/>
      <c r="AB19" s="48"/>
      <c r="AC19" s="48"/>
      <c r="AD19" s="48"/>
    </row>
    <row r="20" spans="1:32" ht="30">
      <c r="A20" s="44">
        <v>5</v>
      </c>
      <c r="B20" s="669" t="s">
        <v>130</v>
      </c>
      <c r="C20" s="671">
        <v>6561.4319999999998</v>
      </c>
      <c r="D20" s="671">
        <v>911.31</v>
      </c>
      <c r="E20" s="677">
        <v>1640.3579999999999</v>
      </c>
      <c r="F20" s="673">
        <f t="shared" si="3"/>
        <v>9113.0999999999985</v>
      </c>
      <c r="G20" s="678">
        <f>824.33+2961.15</f>
        <v>3785.48</v>
      </c>
      <c r="H20" s="678">
        <f>79.39+285.19</f>
        <v>364.58</v>
      </c>
      <c r="I20" s="678">
        <f>189.84+681.95</f>
        <v>871.79000000000008</v>
      </c>
      <c r="J20" s="674">
        <f>I20+H20+G20</f>
        <v>5021.8500000000004</v>
      </c>
      <c r="K20" s="571">
        <f>549.56+1974.11</f>
        <v>2523.67</v>
      </c>
      <c r="L20" s="571">
        <f>52.93+190.13</f>
        <v>243.06</v>
      </c>
      <c r="M20" s="571">
        <f>126.56+454.63</f>
        <v>581.19000000000005</v>
      </c>
      <c r="N20" s="44">
        <f t="shared" si="0"/>
        <v>3347.92</v>
      </c>
      <c r="O20" s="44">
        <f>G20+K20</f>
        <v>6309.15</v>
      </c>
      <c r="P20" s="44">
        <f t="shared" si="1"/>
        <v>607.64</v>
      </c>
      <c r="Q20" s="44">
        <f t="shared" si="1"/>
        <v>1452.98</v>
      </c>
      <c r="R20" s="44">
        <f t="shared" si="1"/>
        <v>8369.77</v>
      </c>
      <c r="S20" s="672">
        <f>C20-O20</f>
        <v>252.28200000000015</v>
      </c>
      <c r="T20" s="672">
        <f t="shared" si="2"/>
        <v>303.66999999999996</v>
      </c>
      <c r="U20" s="672">
        <f t="shared" si="2"/>
        <v>187.37799999999993</v>
      </c>
      <c r="V20" s="672">
        <f t="shared" si="2"/>
        <v>743.32999999999811</v>
      </c>
      <c r="W20" s="48"/>
      <c r="X20" s="48"/>
      <c r="Y20" s="48"/>
      <c r="Z20" s="48"/>
      <c r="AA20" s="48"/>
      <c r="AB20" s="48"/>
      <c r="AC20" s="48"/>
      <c r="AD20" s="48"/>
    </row>
    <row r="21" spans="1:32" s="16" customFormat="1" ht="15">
      <c r="A21" s="680"/>
      <c r="B21" s="681" t="s">
        <v>89</v>
      </c>
      <c r="C21" s="671">
        <v>46981.468800000002</v>
      </c>
      <c r="D21" s="671">
        <v>6525.2039999999997</v>
      </c>
      <c r="E21" s="677">
        <v>11745.367200000001</v>
      </c>
      <c r="F21" s="673">
        <f t="shared" si="3"/>
        <v>65252.04</v>
      </c>
      <c r="G21" s="678">
        <f>G16+G17+G18+G19+G20</f>
        <v>30476.01</v>
      </c>
      <c r="H21" s="678">
        <f t="shared" ref="H21:V21" si="4">H16+H17+H18+H19+H20</f>
        <v>2935.19</v>
      </c>
      <c r="I21" s="678">
        <f t="shared" si="4"/>
        <v>7018.65</v>
      </c>
      <c r="J21" s="678">
        <f t="shared" si="4"/>
        <v>40429.85</v>
      </c>
      <c r="K21" s="571">
        <f t="shared" si="4"/>
        <v>17990.080000000002</v>
      </c>
      <c r="L21" s="571">
        <f t="shared" si="4"/>
        <v>1732.67</v>
      </c>
      <c r="M21" s="571">
        <f t="shared" si="4"/>
        <v>4143.1100000000006</v>
      </c>
      <c r="N21" s="44">
        <f t="shared" si="0"/>
        <v>23865.86</v>
      </c>
      <c r="O21" s="571">
        <f t="shared" si="4"/>
        <v>48466.09</v>
      </c>
      <c r="P21" s="571">
        <f t="shared" si="4"/>
        <v>4667.8600000000006</v>
      </c>
      <c r="Q21" s="571">
        <f t="shared" si="4"/>
        <v>11161.76</v>
      </c>
      <c r="R21" s="571">
        <f t="shared" si="4"/>
        <v>64295.710000000006</v>
      </c>
      <c r="S21" s="571">
        <f t="shared" si="4"/>
        <v>-1484.6212</v>
      </c>
      <c r="T21" s="571">
        <f t="shared" si="4"/>
        <v>1857.3439999999996</v>
      </c>
      <c r="U21" s="571">
        <f t="shared" si="4"/>
        <v>583.60720000000038</v>
      </c>
      <c r="V21" s="677">
        <f t="shared" si="4"/>
        <v>956.32999999999743</v>
      </c>
      <c r="W21" s="48"/>
      <c r="X21" s="48"/>
      <c r="Y21" s="48"/>
      <c r="Z21" s="48"/>
      <c r="AA21" s="48"/>
      <c r="AB21" s="48"/>
      <c r="AC21" s="48"/>
      <c r="AD21" s="48"/>
    </row>
    <row r="22" spans="1:32" ht="30">
      <c r="A22" s="44"/>
      <c r="B22" s="682" t="s">
        <v>241</v>
      </c>
      <c r="C22" s="571"/>
      <c r="D22" s="571"/>
      <c r="E22" s="571"/>
      <c r="F22" s="673">
        <f t="shared" si="3"/>
        <v>0</v>
      </c>
      <c r="G22" s="678"/>
      <c r="H22" s="678"/>
      <c r="I22" s="678"/>
      <c r="J22" s="678"/>
      <c r="K22" s="571"/>
      <c r="L22" s="571"/>
      <c r="M22" s="571"/>
      <c r="N22" s="571"/>
      <c r="O22" s="571"/>
      <c r="P22" s="571"/>
      <c r="Q22" s="571"/>
      <c r="R22" s="571"/>
      <c r="S22" s="571"/>
      <c r="T22" s="571"/>
      <c r="U22" s="571"/>
      <c r="V22" s="571"/>
      <c r="W22" s="48"/>
      <c r="X22" s="48"/>
      <c r="Y22" s="48"/>
      <c r="Z22" s="48"/>
      <c r="AA22" s="48"/>
      <c r="AB22" s="48"/>
      <c r="AC22" s="48"/>
      <c r="AD22" s="48"/>
    </row>
    <row r="23" spans="1:32" ht="30">
      <c r="A23" s="44">
        <v>6</v>
      </c>
      <c r="B23" s="669" t="s">
        <v>185</v>
      </c>
      <c r="C23" s="571">
        <v>0</v>
      </c>
      <c r="D23" s="571">
        <v>0</v>
      </c>
      <c r="E23" s="571">
        <v>0</v>
      </c>
      <c r="F23" s="673">
        <f>E23+D23+C23</f>
        <v>0</v>
      </c>
      <c r="G23" s="683">
        <v>0</v>
      </c>
      <c r="H23" s="683">
        <v>0</v>
      </c>
      <c r="I23" s="683">
        <v>0</v>
      </c>
      <c r="J23" s="683">
        <v>0</v>
      </c>
      <c r="K23" s="677">
        <v>0</v>
      </c>
      <c r="L23" s="677">
        <v>0</v>
      </c>
      <c r="M23" s="677">
        <v>0</v>
      </c>
      <c r="N23" s="677">
        <v>0</v>
      </c>
      <c r="O23" s="677">
        <v>0</v>
      </c>
      <c r="P23" s="677">
        <v>0</v>
      </c>
      <c r="Q23" s="677">
        <v>0</v>
      </c>
      <c r="R23" s="677">
        <v>0</v>
      </c>
      <c r="S23" s="677">
        <v>0</v>
      </c>
      <c r="T23" s="677">
        <v>0</v>
      </c>
      <c r="U23" s="677">
        <v>0</v>
      </c>
      <c r="V23" s="677">
        <v>0</v>
      </c>
      <c r="W23" s="48"/>
      <c r="X23" s="48"/>
      <c r="Y23" s="48"/>
      <c r="Z23" s="48"/>
      <c r="AA23" s="48"/>
      <c r="AB23" s="48"/>
      <c r="AC23" s="48"/>
      <c r="AD23" s="48"/>
    </row>
    <row r="24" spans="1:32" ht="15">
      <c r="A24" s="44">
        <v>7</v>
      </c>
      <c r="B24" s="676" t="s">
        <v>132</v>
      </c>
      <c r="C24" s="571">
        <v>0</v>
      </c>
      <c r="D24" s="571">
        <v>0</v>
      </c>
      <c r="E24" s="571">
        <v>0</v>
      </c>
      <c r="F24" s="673">
        <f t="shared" si="3"/>
        <v>0</v>
      </c>
      <c r="G24" s="683">
        <v>0</v>
      </c>
      <c r="H24" s="683">
        <v>0</v>
      </c>
      <c r="I24" s="683">
        <v>0</v>
      </c>
      <c r="J24" s="683">
        <v>0</v>
      </c>
      <c r="K24" s="677">
        <v>0</v>
      </c>
      <c r="L24" s="677">
        <v>0</v>
      </c>
      <c r="M24" s="677">
        <v>0</v>
      </c>
      <c r="N24" s="677">
        <v>0</v>
      </c>
      <c r="O24" s="677">
        <v>0</v>
      </c>
      <c r="P24" s="677">
        <v>0</v>
      </c>
      <c r="Q24" s="677">
        <v>0</v>
      </c>
      <c r="R24" s="677">
        <v>0</v>
      </c>
      <c r="S24" s="677">
        <v>0</v>
      </c>
      <c r="T24" s="677">
        <v>0</v>
      </c>
      <c r="U24" s="677">
        <v>0</v>
      </c>
      <c r="V24" s="677">
        <v>0</v>
      </c>
      <c r="W24" s="48"/>
      <c r="X24" s="48"/>
      <c r="Y24" s="48"/>
      <c r="Z24" s="48"/>
      <c r="AA24" s="48"/>
      <c r="AB24" s="48"/>
      <c r="AC24" s="48"/>
      <c r="AD24" s="48"/>
    </row>
    <row r="25" spans="1:32" ht="15">
      <c r="A25" s="571"/>
      <c r="B25" s="676" t="s">
        <v>89</v>
      </c>
      <c r="C25" s="684">
        <v>0</v>
      </c>
      <c r="D25" s="571">
        <v>0</v>
      </c>
      <c r="E25" s="571">
        <v>0</v>
      </c>
      <c r="F25" s="673">
        <f t="shared" si="3"/>
        <v>0</v>
      </c>
      <c r="G25" s="683">
        <v>0</v>
      </c>
      <c r="H25" s="683">
        <v>0</v>
      </c>
      <c r="I25" s="683">
        <v>0</v>
      </c>
      <c r="J25" s="683">
        <v>0</v>
      </c>
      <c r="K25" s="677">
        <v>0</v>
      </c>
      <c r="L25" s="677">
        <v>0</v>
      </c>
      <c r="M25" s="677">
        <v>0</v>
      </c>
      <c r="N25" s="677">
        <v>0</v>
      </c>
      <c r="O25" s="677">
        <v>0</v>
      </c>
      <c r="P25" s="677">
        <v>0</v>
      </c>
      <c r="Q25" s="677">
        <v>0</v>
      </c>
      <c r="R25" s="677">
        <v>0</v>
      </c>
      <c r="S25" s="677">
        <v>0</v>
      </c>
      <c r="T25" s="677">
        <v>0</v>
      </c>
      <c r="U25" s="677">
        <v>0</v>
      </c>
      <c r="V25" s="677">
        <v>0</v>
      </c>
      <c r="W25" s="48"/>
      <c r="X25" s="48"/>
      <c r="Y25" s="48"/>
      <c r="Z25" s="48"/>
      <c r="AA25" s="48"/>
      <c r="AB25" s="48"/>
      <c r="AC25" s="48"/>
      <c r="AD25" s="48"/>
    </row>
    <row r="26" spans="1:32" ht="15">
      <c r="A26" s="571"/>
      <c r="B26" s="676" t="s">
        <v>37</v>
      </c>
      <c r="C26" s="677">
        <f>C21</f>
        <v>46981.468800000002</v>
      </c>
      <c r="D26" s="677">
        <f t="shared" ref="D26:V26" si="5">D21</f>
        <v>6525.2039999999997</v>
      </c>
      <c r="E26" s="677">
        <f t="shared" si="5"/>
        <v>11745.367200000001</v>
      </c>
      <c r="F26" s="677">
        <f t="shared" si="5"/>
        <v>65252.04</v>
      </c>
      <c r="G26" s="677">
        <f t="shared" si="5"/>
        <v>30476.01</v>
      </c>
      <c r="H26" s="677">
        <f t="shared" si="5"/>
        <v>2935.19</v>
      </c>
      <c r="I26" s="677">
        <f t="shared" si="5"/>
        <v>7018.65</v>
      </c>
      <c r="J26" s="677">
        <f t="shared" si="5"/>
        <v>40429.85</v>
      </c>
      <c r="K26" s="677">
        <f t="shared" si="5"/>
        <v>17990.080000000002</v>
      </c>
      <c r="L26" s="677">
        <f t="shared" si="5"/>
        <v>1732.67</v>
      </c>
      <c r="M26" s="677">
        <f t="shared" si="5"/>
        <v>4143.1100000000006</v>
      </c>
      <c r="N26" s="677">
        <f t="shared" si="5"/>
        <v>23865.86</v>
      </c>
      <c r="O26" s="677">
        <f t="shared" si="5"/>
        <v>48466.09</v>
      </c>
      <c r="P26" s="677">
        <f t="shared" si="5"/>
        <v>4667.8600000000006</v>
      </c>
      <c r="Q26" s="677">
        <f t="shared" si="5"/>
        <v>11161.76</v>
      </c>
      <c r="R26" s="677">
        <f>R21</f>
        <v>64295.710000000006</v>
      </c>
      <c r="S26" s="677">
        <f t="shared" si="5"/>
        <v>-1484.6212</v>
      </c>
      <c r="T26" s="677">
        <f t="shared" si="5"/>
        <v>1857.3439999999996</v>
      </c>
      <c r="U26" s="677">
        <f t="shared" si="5"/>
        <v>583.60720000000038</v>
      </c>
      <c r="V26" s="677">
        <f t="shared" si="5"/>
        <v>956.32999999999743</v>
      </c>
      <c r="W26" s="48"/>
      <c r="X26" s="48"/>
      <c r="Y26" s="48"/>
      <c r="Z26" s="48"/>
      <c r="AA26" s="48"/>
      <c r="AB26" s="48"/>
      <c r="AC26" s="48"/>
      <c r="AD26" s="48"/>
    </row>
    <row r="27" spans="1:32" ht="1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2" ht="25.15" customHeight="1">
      <c r="A28" s="48" t="s">
        <v>12</v>
      </c>
      <c r="B28" s="48"/>
      <c r="C28" s="48"/>
      <c r="D28" s="48"/>
      <c r="E28" s="48"/>
      <c r="F28" s="48"/>
      <c r="G28" s="48"/>
      <c r="H28" s="48"/>
      <c r="I28" s="48"/>
      <c r="J28" s="48"/>
      <c r="K28" s="48"/>
      <c r="L28" s="48"/>
      <c r="M28" s="48"/>
      <c r="N28" s="48"/>
      <c r="O28" s="48"/>
      <c r="P28" s="48"/>
      <c r="Q28" s="48"/>
      <c r="R28" s="48"/>
      <c r="S28" s="1130"/>
      <c r="T28" s="1130"/>
      <c r="U28" s="685"/>
      <c r="V28" s="48"/>
      <c r="W28" s="48"/>
      <c r="X28" s="48"/>
      <c r="Y28" s="48"/>
      <c r="Z28" s="48"/>
      <c r="AA28" s="48"/>
      <c r="AB28" s="48"/>
      <c r="AC28" s="48"/>
      <c r="AD28" s="48"/>
      <c r="AE28" s="16"/>
      <c r="AF28" s="16"/>
    </row>
    <row r="29" spans="1:32" ht="25.15" customHeight="1">
      <c r="A29" s="48"/>
      <c r="B29" s="48"/>
      <c r="C29" s="48"/>
      <c r="D29" s="48"/>
      <c r="E29" s="48"/>
      <c r="F29" s="48"/>
      <c r="G29" s="48"/>
      <c r="H29" s="48"/>
      <c r="I29" s="48"/>
      <c r="J29" s="48"/>
      <c r="K29" s="48"/>
      <c r="L29" s="48"/>
      <c r="M29" s="48"/>
      <c r="N29" s="48"/>
      <c r="O29" s="48"/>
      <c r="P29" s="48"/>
      <c r="Q29" s="48"/>
      <c r="R29" s="48"/>
      <c r="S29" s="988"/>
      <c r="T29" s="988"/>
      <c r="U29" s="685"/>
      <c r="V29" s="48"/>
      <c r="W29" s="48"/>
      <c r="X29" s="48"/>
      <c r="Y29" s="48"/>
      <c r="Z29" s="48"/>
      <c r="AA29" s="48"/>
      <c r="AB29" s="48"/>
      <c r="AC29" s="48"/>
      <c r="AD29" s="48"/>
      <c r="AE29" s="991"/>
      <c r="AF29" s="991"/>
    </row>
    <row r="30" spans="1:32" ht="15.6" customHeight="1">
      <c r="B30" s="989"/>
      <c r="C30" s="989"/>
      <c r="D30" s="989"/>
      <c r="E30" s="989"/>
      <c r="F30" s="989"/>
      <c r="G30" s="989"/>
      <c r="H30" s="989"/>
      <c r="I30" s="989"/>
      <c r="J30" s="989"/>
      <c r="N30" s="989"/>
      <c r="S30" s="1040" t="s">
        <v>1106</v>
      </c>
      <c r="T30" s="1040"/>
      <c r="U30" s="1040"/>
    </row>
    <row r="31" spans="1:32" ht="15.6" customHeight="1">
      <c r="B31" s="989"/>
      <c r="C31" s="989"/>
      <c r="D31" s="989"/>
      <c r="E31" s="989"/>
      <c r="F31" s="989"/>
      <c r="G31" s="989"/>
      <c r="H31" s="989"/>
      <c r="I31" s="989"/>
      <c r="J31" s="989"/>
      <c r="N31" s="989"/>
      <c r="S31" s="1040" t="s">
        <v>481</v>
      </c>
      <c r="T31" s="1040"/>
      <c r="U31" s="1040"/>
    </row>
    <row r="32" spans="1:32" ht="15.6" customHeight="1">
      <c r="A32" s="989" t="s">
        <v>1105</v>
      </c>
      <c r="B32" s="989"/>
      <c r="C32" s="989"/>
      <c r="D32" s="989"/>
      <c r="E32" s="989"/>
      <c r="F32" s="989"/>
      <c r="G32" s="989"/>
      <c r="H32" s="989"/>
      <c r="I32" s="989"/>
      <c r="J32" s="989"/>
      <c r="N32" s="989"/>
      <c r="S32" s="1040" t="s">
        <v>1107</v>
      </c>
      <c r="T32" s="1040"/>
      <c r="U32" s="1040"/>
    </row>
  </sheetData>
  <mergeCells count="20">
    <mergeCell ref="S30:U30"/>
    <mergeCell ref="S31:U31"/>
    <mergeCell ref="S32:U32"/>
    <mergeCell ref="G2:O2"/>
    <mergeCell ref="A3:U3"/>
    <mergeCell ref="A4:U4"/>
    <mergeCell ref="A6:U6"/>
    <mergeCell ref="A8:C8"/>
    <mergeCell ref="Y17:AB17"/>
    <mergeCell ref="AB10:AD10"/>
    <mergeCell ref="A11:A12"/>
    <mergeCell ref="B11:B12"/>
    <mergeCell ref="S28:T28"/>
    <mergeCell ref="C11:F12"/>
    <mergeCell ref="G12:J12"/>
    <mergeCell ref="K12:N12"/>
    <mergeCell ref="O12:R12"/>
    <mergeCell ref="G11:R11"/>
    <mergeCell ref="U10:V10"/>
    <mergeCell ref="S11:V12"/>
  </mergeCells>
  <printOptions horizontalCentered="1"/>
  <pageMargins left="0.70866141732283472" right="0.70866141732283472" top="0.63" bottom="0" header="0.79" footer="0.31496062992125984"/>
  <pageSetup paperSize="9" scale="53"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sheetPr>
    <pageSetUpPr fitToPage="1"/>
  </sheetPr>
  <dimension ref="A1:P56"/>
  <sheetViews>
    <sheetView topLeftCell="E38" zoomScaleSheetLayoutView="90" workbookViewId="0">
      <selection activeCell="O53" sqref="O53"/>
    </sheetView>
  </sheetViews>
  <sheetFormatPr defaultColWidth="9.28515625" defaultRowHeight="12.75"/>
  <cols>
    <col min="1" max="1" width="9.7109375" style="246" customWidth="1"/>
    <col min="2" max="2" width="18.140625" style="284" customWidth="1"/>
    <col min="3" max="4" width="15.28515625" style="246" customWidth="1"/>
    <col min="5" max="12" width="9.42578125" style="246" customWidth="1"/>
    <col min="13" max="13" width="10.28515625" style="246" customWidth="1"/>
    <col min="14" max="16384" width="9.28515625" style="246"/>
  </cols>
  <sheetData>
    <row r="1" spans="1:16">
      <c r="H1" s="1367"/>
      <c r="I1" s="1367"/>
      <c r="K1" s="1465" t="s">
        <v>527</v>
      </c>
      <c r="L1" s="1465"/>
      <c r="M1" s="1465"/>
    </row>
    <row r="2" spans="1:16">
      <c r="D2" s="1367" t="s">
        <v>481</v>
      </c>
      <c r="E2" s="1367"/>
      <c r="F2" s="1367"/>
      <c r="G2" s="1367"/>
      <c r="H2" s="1031"/>
      <c r="I2" s="1031"/>
      <c r="L2" s="285"/>
    </row>
    <row r="3" spans="1:16" s="286" customFormat="1" ht="15.75">
      <c r="A3" s="1466" t="s">
        <v>669</v>
      </c>
      <c r="B3" s="1466"/>
      <c r="C3" s="1466"/>
      <c r="D3" s="1466"/>
      <c r="E3" s="1466"/>
      <c r="F3" s="1466"/>
      <c r="G3" s="1466"/>
      <c r="H3" s="1466"/>
      <c r="I3" s="1466"/>
      <c r="J3" s="1466"/>
      <c r="K3" s="1466"/>
      <c r="L3" s="1466"/>
    </row>
    <row r="4" spans="1:16" s="286" customFormat="1" ht="20.25" customHeight="1">
      <c r="A4" s="1466" t="s">
        <v>668</v>
      </c>
      <c r="B4" s="1466"/>
      <c r="C4" s="1466"/>
      <c r="D4" s="1466"/>
      <c r="E4" s="1466"/>
      <c r="F4" s="1466"/>
      <c r="G4" s="1466"/>
      <c r="H4" s="1466"/>
      <c r="I4" s="1466"/>
      <c r="J4" s="1466"/>
      <c r="K4" s="1466"/>
      <c r="L4" s="1466"/>
    </row>
    <row r="6" spans="1:16">
      <c r="A6" s="270" t="s">
        <v>163</v>
      </c>
      <c r="B6" s="287" t="s">
        <v>860</v>
      </c>
      <c r="C6" s="288"/>
      <c r="D6" s="288"/>
      <c r="E6" s="288"/>
      <c r="F6" s="288"/>
      <c r="G6" s="288"/>
      <c r="H6" s="288"/>
      <c r="I6" s="288"/>
      <c r="J6" s="288"/>
    </row>
    <row r="7" spans="1:16" s="291" customFormat="1" ht="15" customHeight="1">
      <c r="A7" s="995"/>
      <c r="B7" s="290"/>
      <c r="C7" s="995"/>
      <c r="D7" s="995"/>
      <c r="E7" s="995"/>
      <c r="F7" s="995"/>
      <c r="G7" s="995"/>
      <c r="H7" s="995"/>
      <c r="I7" s="1467"/>
      <c r="J7" s="1467"/>
      <c r="K7" s="1467"/>
      <c r="L7" s="1467"/>
    </row>
    <row r="8" spans="1:16" s="293" customFormat="1" ht="20.25" customHeight="1">
      <c r="A8" s="1368" t="s">
        <v>2</v>
      </c>
      <c r="B8" s="1368" t="s">
        <v>3</v>
      </c>
      <c r="C8" s="1463" t="s">
        <v>277</v>
      </c>
      <c r="D8" s="1463" t="s">
        <v>278</v>
      </c>
      <c r="E8" s="1463" t="s">
        <v>1065</v>
      </c>
      <c r="F8" s="1463"/>
      <c r="G8" s="1463"/>
      <c r="H8" s="1463"/>
      <c r="I8" s="1463"/>
      <c r="J8" s="1463"/>
      <c r="K8" s="1463"/>
      <c r="L8" s="1463"/>
      <c r="M8" s="1463"/>
      <c r="N8" s="1463"/>
      <c r="O8" s="1463"/>
      <c r="P8" s="1463"/>
    </row>
    <row r="9" spans="1:16" s="293" customFormat="1" ht="35.25" customHeight="1">
      <c r="A9" s="1368"/>
      <c r="B9" s="1368"/>
      <c r="C9" s="1463"/>
      <c r="D9" s="1463"/>
      <c r="E9" s="294" t="s">
        <v>861</v>
      </c>
      <c r="F9" s="294" t="s">
        <v>279</v>
      </c>
      <c r="G9" s="294" t="s">
        <v>862</v>
      </c>
      <c r="H9" s="294" t="s">
        <v>863</v>
      </c>
      <c r="I9" s="294" t="s">
        <v>864</v>
      </c>
      <c r="J9" s="294" t="s">
        <v>865</v>
      </c>
      <c r="K9" s="294" t="s">
        <v>866</v>
      </c>
      <c r="L9" s="294" t="s">
        <v>867</v>
      </c>
      <c r="M9" s="294" t="s">
        <v>868</v>
      </c>
      <c r="N9" s="294" t="s">
        <v>869</v>
      </c>
      <c r="O9" s="294" t="s">
        <v>870</v>
      </c>
      <c r="P9" s="294" t="s">
        <v>871</v>
      </c>
    </row>
    <row r="10" spans="1:16" s="297" customFormat="1" ht="12.75" customHeight="1">
      <c r="A10" s="295">
        <v>1</v>
      </c>
      <c r="B10" s="295">
        <v>2</v>
      </c>
      <c r="C10" s="295">
        <v>3</v>
      </c>
      <c r="D10" s="295">
        <v>4</v>
      </c>
      <c r="E10" s="295">
        <v>5</v>
      </c>
      <c r="F10" s="295">
        <v>6</v>
      </c>
      <c r="G10" s="295">
        <v>7</v>
      </c>
      <c r="H10" s="295">
        <v>8</v>
      </c>
      <c r="I10" s="295">
        <v>9</v>
      </c>
      <c r="J10" s="295">
        <v>10</v>
      </c>
      <c r="K10" s="295">
        <v>11</v>
      </c>
      <c r="L10" s="295">
        <v>12</v>
      </c>
      <c r="M10" s="296">
        <v>13</v>
      </c>
      <c r="N10" s="296">
        <v>14</v>
      </c>
      <c r="O10" s="296">
        <v>15</v>
      </c>
      <c r="P10" s="296">
        <v>16</v>
      </c>
    </row>
    <row r="11" spans="1:16" ht="15">
      <c r="A11" s="298">
        <v>1</v>
      </c>
      <c r="B11" s="299" t="s">
        <v>872</v>
      </c>
      <c r="C11" s="300">
        <v>1246</v>
      </c>
      <c r="D11" s="300">
        <v>1228</v>
      </c>
      <c r="E11" s="300">
        <v>778</v>
      </c>
      <c r="F11" s="300">
        <v>778</v>
      </c>
      <c r="G11" s="300">
        <v>776</v>
      </c>
      <c r="H11" s="300">
        <v>776</v>
      </c>
      <c r="I11" s="300">
        <v>775</v>
      </c>
      <c r="J11" s="300">
        <v>775</v>
      </c>
      <c r="K11" s="300">
        <v>775</v>
      </c>
      <c r="L11" s="300">
        <v>774</v>
      </c>
      <c r="M11" s="300">
        <v>774</v>
      </c>
      <c r="N11" s="300">
        <v>768</v>
      </c>
      <c r="O11" s="300">
        <v>683</v>
      </c>
      <c r="P11" s="300">
        <v>632</v>
      </c>
    </row>
    <row r="12" spans="1:16" ht="15">
      <c r="A12" s="298">
        <v>2</v>
      </c>
      <c r="B12" s="299" t="s">
        <v>873</v>
      </c>
      <c r="C12" s="300">
        <v>783</v>
      </c>
      <c r="D12" s="300">
        <v>783</v>
      </c>
      <c r="E12" s="300">
        <v>783</v>
      </c>
      <c r="F12" s="300">
        <v>783</v>
      </c>
      <c r="G12" s="300">
        <v>783</v>
      </c>
      <c r="H12" s="300">
        <v>780</v>
      </c>
      <c r="I12" s="300">
        <v>780</v>
      </c>
      <c r="J12" s="300">
        <v>780</v>
      </c>
      <c r="K12" s="300">
        <v>780</v>
      </c>
      <c r="L12" s="300">
        <v>780</v>
      </c>
      <c r="M12" s="300">
        <v>780</v>
      </c>
      <c r="N12" s="300">
        <v>780</v>
      </c>
      <c r="O12" s="300">
        <v>780</v>
      </c>
      <c r="P12" s="300">
        <v>780</v>
      </c>
    </row>
    <row r="13" spans="1:16" ht="15">
      <c r="A13" s="298">
        <v>3</v>
      </c>
      <c r="B13" s="299" t="s">
        <v>874</v>
      </c>
      <c r="C13" s="300">
        <v>1059</v>
      </c>
      <c r="D13" s="300">
        <v>1053</v>
      </c>
      <c r="E13" s="300">
        <v>1023</v>
      </c>
      <c r="F13" s="300">
        <v>1023</v>
      </c>
      <c r="G13" s="300">
        <v>1021</v>
      </c>
      <c r="H13" s="300">
        <v>994</v>
      </c>
      <c r="I13" s="300">
        <v>994</v>
      </c>
      <c r="J13" s="300">
        <v>993</v>
      </c>
      <c r="K13" s="300">
        <v>991</v>
      </c>
      <c r="L13" s="300">
        <v>988</v>
      </c>
      <c r="M13" s="300">
        <v>986</v>
      </c>
      <c r="N13" s="300">
        <v>984</v>
      </c>
      <c r="O13" s="300">
        <v>977</v>
      </c>
      <c r="P13" s="300">
        <v>753</v>
      </c>
    </row>
    <row r="14" spans="1:16" s="301" customFormat="1" ht="12.75" customHeight="1">
      <c r="A14" s="298">
        <v>4</v>
      </c>
      <c r="B14" s="299" t="s">
        <v>875</v>
      </c>
      <c r="C14" s="300">
        <v>1254</v>
      </c>
      <c r="D14" s="300">
        <v>1254</v>
      </c>
      <c r="E14" s="300">
        <v>1254</v>
      </c>
      <c r="F14" s="300">
        <v>1254</v>
      </c>
      <c r="G14" s="300">
        <v>1254</v>
      </c>
      <c r="H14" s="300">
        <v>1254</v>
      </c>
      <c r="I14" s="300">
        <v>1254</v>
      </c>
      <c r="J14" s="300">
        <v>1254</v>
      </c>
      <c r="K14" s="300">
        <v>1254</v>
      </c>
      <c r="L14" s="300">
        <v>1254</v>
      </c>
      <c r="M14" s="300">
        <v>1254</v>
      </c>
      <c r="N14" s="300">
        <v>1254</v>
      </c>
      <c r="O14" s="300">
        <v>1254</v>
      </c>
      <c r="P14" s="300">
        <v>1143</v>
      </c>
    </row>
    <row r="15" spans="1:16" s="301" customFormat="1" ht="12.75" customHeight="1">
      <c r="A15" s="298">
        <v>5</v>
      </c>
      <c r="B15" s="299" t="s">
        <v>876</v>
      </c>
      <c r="C15" s="300">
        <v>2387</v>
      </c>
      <c r="D15" s="300">
        <v>2385</v>
      </c>
      <c r="E15" s="300">
        <v>2385</v>
      </c>
      <c r="F15" s="300">
        <v>2385</v>
      </c>
      <c r="G15" s="300">
        <v>2385</v>
      </c>
      <c r="H15" s="300">
        <v>2381</v>
      </c>
      <c r="I15" s="300">
        <v>2381</v>
      </c>
      <c r="J15" s="300">
        <v>2381</v>
      </c>
      <c r="K15" s="300">
        <v>2381</v>
      </c>
      <c r="L15" s="300">
        <v>2381</v>
      </c>
      <c r="M15" s="300">
        <v>2381</v>
      </c>
      <c r="N15" s="300">
        <v>2381</v>
      </c>
      <c r="O15" s="300">
        <v>2381</v>
      </c>
      <c r="P15" s="300">
        <v>2381</v>
      </c>
    </row>
    <row r="16" spans="1:16" s="301" customFormat="1" ht="13.15" customHeight="1">
      <c r="A16" s="298">
        <v>6</v>
      </c>
      <c r="B16" s="299" t="s">
        <v>877</v>
      </c>
      <c r="C16" s="300">
        <v>937</v>
      </c>
      <c r="D16" s="300">
        <v>937</v>
      </c>
      <c r="E16" s="300">
        <v>937</v>
      </c>
      <c r="F16" s="300">
        <v>937</v>
      </c>
      <c r="G16" s="300">
        <v>937</v>
      </c>
      <c r="H16" s="300">
        <v>937</v>
      </c>
      <c r="I16" s="300">
        <v>937</v>
      </c>
      <c r="J16" s="300">
        <v>937</v>
      </c>
      <c r="K16" s="300">
        <v>937</v>
      </c>
      <c r="L16" s="300">
        <v>937</v>
      </c>
      <c r="M16" s="300">
        <v>937</v>
      </c>
      <c r="N16" s="300">
        <v>937</v>
      </c>
      <c r="O16" s="300">
        <v>937</v>
      </c>
      <c r="P16" s="300">
        <v>937</v>
      </c>
    </row>
    <row r="17" spans="1:16" ht="12.75" customHeight="1">
      <c r="A17" s="298">
        <v>7</v>
      </c>
      <c r="B17" s="299" t="s">
        <v>878</v>
      </c>
      <c r="C17" s="300">
        <v>907</v>
      </c>
      <c r="D17" s="300">
        <v>899</v>
      </c>
      <c r="E17" s="300">
        <v>890</v>
      </c>
      <c r="F17" s="300">
        <v>890</v>
      </c>
      <c r="G17" s="300">
        <v>889</v>
      </c>
      <c r="H17" s="300">
        <v>876</v>
      </c>
      <c r="I17" s="300">
        <v>861</v>
      </c>
      <c r="J17" s="300">
        <v>861</v>
      </c>
      <c r="K17" s="300">
        <v>860</v>
      </c>
      <c r="L17" s="300">
        <v>860</v>
      </c>
      <c r="M17" s="300">
        <v>858</v>
      </c>
      <c r="N17" s="300">
        <v>846</v>
      </c>
      <c r="O17" s="300">
        <v>693</v>
      </c>
      <c r="P17" s="300">
        <v>619</v>
      </c>
    </row>
    <row r="18" spans="1:16" ht="15">
      <c r="A18" s="298">
        <v>8</v>
      </c>
      <c r="B18" s="299" t="s">
        <v>879</v>
      </c>
      <c r="C18" s="300">
        <v>261</v>
      </c>
      <c r="D18" s="300">
        <v>231</v>
      </c>
      <c r="E18" s="300">
        <v>228</v>
      </c>
      <c r="F18" s="300">
        <v>228</v>
      </c>
      <c r="G18" s="300">
        <v>228</v>
      </c>
      <c r="H18" s="300">
        <v>228</v>
      </c>
      <c r="I18" s="300">
        <v>228</v>
      </c>
      <c r="J18" s="300">
        <v>228</v>
      </c>
      <c r="K18" s="300">
        <v>228</v>
      </c>
      <c r="L18" s="300">
        <v>228</v>
      </c>
      <c r="M18" s="300">
        <v>228</v>
      </c>
      <c r="N18" s="300">
        <v>227</v>
      </c>
      <c r="O18" s="300">
        <v>227</v>
      </c>
      <c r="P18" s="300">
        <v>181</v>
      </c>
    </row>
    <row r="19" spans="1:16" ht="15">
      <c r="A19" s="298">
        <v>9</v>
      </c>
      <c r="B19" s="299" t="s">
        <v>880</v>
      </c>
      <c r="C19" s="300">
        <v>1248</v>
      </c>
      <c r="D19" s="300">
        <v>1236</v>
      </c>
      <c r="E19" s="300">
        <v>1197</v>
      </c>
      <c r="F19" s="300">
        <v>1197</v>
      </c>
      <c r="G19" s="300">
        <v>1197</v>
      </c>
      <c r="H19" s="300">
        <v>1197</v>
      </c>
      <c r="I19" s="300">
        <v>1197</v>
      </c>
      <c r="J19" s="300">
        <v>1046</v>
      </c>
      <c r="K19" s="300">
        <v>808</v>
      </c>
      <c r="L19" s="300">
        <v>793</v>
      </c>
      <c r="M19" s="300">
        <v>561</v>
      </c>
      <c r="N19" s="300">
        <v>517</v>
      </c>
      <c r="O19" s="300">
        <v>517</v>
      </c>
      <c r="P19" s="300">
        <v>226</v>
      </c>
    </row>
    <row r="20" spans="1:16" ht="15">
      <c r="A20" s="298">
        <v>10</v>
      </c>
      <c r="B20" s="299" t="s">
        <v>881</v>
      </c>
      <c r="C20" s="300">
        <v>378</v>
      </c>
      <c r="D20" s="300">
        <v>378</v>
      </c>
      <c r="E20" s="300">
        <v>378</v>
      </c>
      <c r="F20" s="300">
        <v>378</v>
      </c>
      <c r="G20" s="300">
        <v>378</v>
      </c>
      <c r="H20" s="300">
        <v>378</v>
      </c>
      <c r="I20" s="300">
        <v>378</v>
      </c>
      <c r="J20" s="300">
        <v>378</v>
      </c>
      <c r="K20" s="300">
        <v>376</v>
      </c>
      <c r="L20" s="300">
        <v>376</v>
      </c>
      <c r="M20" s="300">
        <v>375</v>
      </c>
      <c r="N20" s="300">
        <v>365</v>
      </c>
      <c r="O20" s="300">
        <v>327</v>
      </c>
      <c r="P20" s="300">
        <v>0</v>
      </c>
    </row>
    <row r="21" spans="1:16" ht="17.25" customHeight="1">
      <c r="A21" s="298">
        <v>11</v>
      </c>
      <c r="B21" s="299" t="s">
        <v>882</v>
      </c>
      <c r="C21" s="300">
        <v>624</v>
      </c>
      <c r="D21" s="300">
        <v>622</v>
      </c>
      <c r="E21" s="300">
        <v>621</v>
      </c>
      <c r="F21" s="300">
        <v>621</v>
      </c>
      <c r="G21" s="300">
        <v>621</v>
      </c>
      <c r="H21" s="300">
        <v>621</v>
      </c>
      <c r="I21" s="300">
        <v>621</v>
      </c>
      <c r="J21" s="300">
        <v>621</v>
      </c>
      <c r="K21" s="300">
        <v>619</v>
      </c>
      <c r="L21" s="300">
        <v>619</v>
      </c>
      <c r="M21" s="300">
        <v>619</v>
      </c>
      <c r="N21" s="300">
        <v>611</v>
      </c>
      <c r="O21" s="300">
        <v>547</v>
      </c>
      <c r="P21" s="300">
        <v>362</v>
      </c>
    </row>
    <row r="22" spans="1:16" ht="15">
      <c r="A22" s="298">
        <v>12</v>
      </c>
      <c r="B22" s="299" t="s">
        <v>883</v>
      </c>
      <c r="C22" s="300">
        <v>1649</v>
      </c>
      <c r="D22" s="300">
        <v>1649</v>
      </c>
      <c r="E22" s="300">
        <v>1648</v>
      </c>
      <c r="F22" s="300">
        <v>1648</v>
      </c>
      <c r="G22" s="300">
        <v>1648</v>
      </c>
      <c r="H22" s="300">
        <v>1648</v>
      </c>
      <c r="I22" s="300">
        <v>1647</v>
      </c>
      <c r="J22" s="300">
        <v>1644</v>
      </c>
      <c r="K22" s="300">
        <v>1638</v>
      </c>
      <c r="L22" s="300">
        <v>1635</v>
      </c>
      <c r="M22" s="300">
        <v>1630</v>
      </c>
      <c r="N22" s="300">
        <v>1529</v>
      </c>
      <c r="O22" s="300">
        <v>1144</v>
      </c>
      <c r="P22" s="300">
        <v>956</v>
      </c>
    </row>
    <row r="23" spans="1:16" ht="15">
      <c r="A23" s="298">
        <v>13</v>
      </c>
      <c r="B23" s="299" t="s">
        <v>884</v>
      </c>
      <c r="C23" s="300">
        <v>638</v>
      </c>
      <c r="D23" s="300">
        <v>630</v>
      </c>
      <c r="E23" s="300">
        <v>575</v>
      </c>
      <c r="F23" s="300">
        <v>575</v>
      </c>
      <c r="G23" s="300">
        <v>518</v>
      </c>
      <c r="H23" s="300">
        <v>434</v>
      </c>
      <c r="I23" s="300">
        <v>423</v>
      </c>
      <c r="J23" s="300">
        <v>423</v>
      </c>
      <c r="K23" s="300">
        <v>423</v>
      </c>
      <c r="L23" s="300">
        <v>423</v>
      </c>
      <c r="M23" s="300">
        <v>423</v>
      </c>
      <c r="N23" s="300">
        <v>409</v>
      </c>
      <c r="O23" s="300">
        <v>332</v>
      </c>
      <c r="P23" s="300">
        <v>223</v>
      </c>
    </row>
    <row r="24" spans="1:16" ht="15">
      <c r="A24" s="298">
        <v>14</v>
      </c>
      <c r="B24" s="299" t="s">
        <v>885</v>
      </c>
      <c r="C24" s="300">
        <v>555</v>
      </c>
      <c r="D24" s="300">
        <v>554</v>
      </c>
      <c r="E24" s="300">
        <v>547</v>
      </c>
      <c r="F24" s="300">
        <v>547</v>
      </c>
      <c r="G24" s="300">
        <v>547</v>
      </c>
      <c r="H24" s="300">
        <v>547</v>
      </c>
      <c r="I24" s="300">
        <v>547</v>
      </c>
      <c r="J24" s="300">
        <v>547</v>
      </c>
      <c r="K24" s="300">
        <v>547</v>
      </c>
      <c r="L24" s="300">
        <v>547</v>
      </c>
      <c r="M24" s="300">
        <v>547</v>
      </c>
      <c r="N24" s="300">
        <v>486</v>
      </c>
      <c r="O24" s="300">
        <v>425</v>
      </c>
      <c r="P24" s="300">
        <v>304</v>
      </c>
    </row>
    <row r="25" spans="1:16" ht="15">
      <c r="A25" s="298">
        <v>15</v>
      </c>
      <c r="B25" s="299" t="s">
        <v>886</v>
      </c>
      <c r="C25" s="300">
        <v>705</v>
      </c>
      <c r="D25" s="300">
        <v>705</v>
      </c>
      <c r="E25" s="300">
        <v>705</v>
      </c>
      <c r="F25" s="300">
        <v>705</v>
      </c>
      <c r="G25" s="300">
        <v>705</v>
      </c>
      <c r="H25" s="300">
        <v>705</v>
      </c>
      <c r="I25" s="300">
        <v>705</v>
      </c>
      <c r="J25" s="300">
        <v>705</v>
      </c>
      <c r="K25" s="300">
        <v>705</v>
      </c>
      <c r="L25" s="300">
        <v>705</v>
      </c>
      <c r="M25" s="300">
        <v>705</v>
      </c>
      <c r="N25" s="300">
        <v>705</v>
      </c>
      <c r="O25" s="300">
        <v>705</v>
      </c>
      <c r="P25" s="300">
        <v>705</v>
      </c>
    </row>
    <row r="26" spans="1:16" ht="15">
      <c r="A26" s="298">
        <v>16</v>
      </c>
      <c r="B26" s="299" t="s">
        <v>887</v>
      </c>
      <c r="C26" s="300">
        <v>754</v>
      </c>
      <c r="D26" s="300">
        <v>753</v>
      </c>
      <c r="E26" s="300">
        <v>753</v>
      </c>
      <c r="F26" s="300">
        <v>753</v>
      </c>
      <c r="G26" s="300">
        <v>753</v>
      </c>
      <c r="H26" s="300">
        <v>752</v>
      </c>
      <c r="I26" s="300">
        <v>752</v>
      </c>
      <c r="J26" s="300">
        <v>751</v>
      </c>
      <c r="K26" s="300">
        <v>749</v>
      </c>
      <c r="L26" s="300">
        <v>748</v>
      </c>
      <c r="M26" s="300">
        <v>748</v>
      </c>
      <c r="N26" s="300">
        <v>746</v>
      </c>
      <c r="O26" s="300">
        <v>742</v>
      </c>
      <c r="P26" s="300">
        <v>577</v>
      </c>
    </row>
    <row r="27" spans="1:16" ht="15">
      <c r="A27" s="298">
        <v>17</v>
      </c>
      <c r="B27" s="299" t="s">
        <v>888</v>
      </c>
      <c r="C27" s="300">
        <v>1696</v>
      </c>
      <c r="D27" s="300">
        <v>1687</v>
      </c>
      <c r="E27" s="300">
        <v>1643</v>
      </c>
      <c r="F27" s="300">
        <v>1643</v>
      </c>
      <c r="G27" s="300">
        <v>1625</v>
      </c>
      <c r="H27" s="300">
        <v>1606</v>
      </c>
      <c r="I27" s="300">
        <v>1595</v>
      </c>
      <c r="J27" s="300">
        <v>1581</v>
      </c>
      <c r="K27" s="300">
        <v>1566</v>
      </c>
      <c r="L27" s="300">
        <v>1556</v>
      </c>
      <c r="M27" s="300">
        <v>1539</v>
      </c>
      <c r="N27" s="300">
        <v>1426</v>
      </c>
      <c r="O27" s="300">
        <v>1267</v>
      </c>
      <c r="P27" s="300">
        <v>610</v>
      </c>
    </row>
    <row r="28" spans="1:16" ht="15">
      <c r="A28" s="298">
        <v>18</v>
      </c>
      <c r="B28" s="299" t="s">
        <v>889</v>
      </c>
      <c r="C28" s="300">
        <v>1426</v>
      </c>
      <c r="D28" s="300">
        <v>1426</v>
      </c>
      <c r="E28" s="300">
        <v>1426</v>
      </c>
      <c r="F28" s="300">
        <v>1426</v>
      </c>
      <c r="G28" s="300">
        <v>1426</v>
      </c>
      <c r="H28" s="300">
        <v>1426</v>
      </c>
      <c r="I28" s="300">
        <v>1426</v>
      </c>
      <c r="J28" s="300">
        <v>1426</v>
      </c>
      <c r="K28" s="300">
        <v>1426</v>
      </c>
      <c r="L28" s="300">
        <v>1426</v>
      </c>
      <c r="M28" s="300">
        <v>1426</v>
      </c>
      <c r="N28" s="300">
        <v>1426</v>
      </c>
      <c r="O28" s="300">
        <v>1426</v>
      </c>
      <c r="P28" s="300">
        <v>1426</v>
      </c>
    </row>
    <row r="29" spans="1:16" ht="15">
      <c r="A29" s="298">
        <v>19</v>
      </c>
      <c r="B29" s="299" t="s">
        <v>890</v>
      </c>
      <c r="C29" s="300">
        <v>1048</v>
      </c>
      <c r="D29" s="300">
        <v>1041</v>
      </c>
      <c r="E29" s="300">
        <v>1037</v>
      </c>
      <c r="F29" s="300">
        <v>1037</v>
      </c>
      <c r="G29" s="300">
        <v>1037</v>
      </c>
      <c r="H29" s="300">
        <v>1037</v>
      </c>
      <c r="I29" s="300">
        <v>1037</v>
      </c>
      <c r="J29" s="300">
        <v>1036</v>
      </c>
      <c r="K29" s="300">
        <v>1036</v>
      </c>
      <c r="L29" s="300">
        <v>1036</v>
      </c>
      <c r="M29" s="300">
        <v>1036</v>
      </c>
      <c r="N29" s="300">
        <v>1035</v>
      </c>
      <c r="O29" s="300">
        <v>1029</v>
      </c>
      <c r="P29" s="300">
        <v>960</v>
      </c>
    </row>
    <row r="30" spans="1:16" ht="15">
      <c r="A30" s="298">
        <v>20</v>
      </c>
      <c r="B30" s="299" t="s">
        <v>891</v>
      </c>
      <c r="C30" s="300">
        <v>1238</v>
      </c>
      <c r="D30" s="300">
        <v>1235</v>
      </c>
      <c r="E30" s="300">
        <v>1095</v>
      </c>
      <c r="F30" s="300">
        <v>1095</v>
      </c>
      <c r="G30" s="300">
        <v>1095</v>
      </c>
      <c r="H30" s="300">
        <v>1088</v>
      </c>
      <c r="I30" s="300">
        <v>1088</v>
      </c>
      <c r="J30" s="300">
        <v>1087</v>
      </c>
      <c r="K30" s="300">
        <v>1087</v>
      </c>
      <c r="L30" s="300">
        <v>1087</v>
      </c>
      <c r="M30" s="300">
        <v>1087</v>
      </c>
      <c r="N30" s="300">
        <v>1048</v>
      </c>
      <c r="O30" s="300">
        <v>893</v>
      </c>
      <c r="P30" s="300">
        <v>866</v>
      </c>
    </row>
    <row r="31" spans="1:16" ht="15">
      <c r="A31" s="298">
        <v>21</v>
      </c>
      <c r="B31" s="299" t="s">
        <v>892</v>
      </c>
      <c r="C31" s="300">
        <v>587</v>
      </c>
      <c r="D31" s="300">
        <v>587</v>
      </c>
      <c r="E31" s="300">
        <v>552</v>
      </c>
      <c r="F31" s="300">
        <v>551</v>
      </c>
      <c r="G31" s="300">
        <v>550</v>
      </c>
      <c r="H31" s="300">
        <v>550</v>
      </c>
      <c r="I31" s="300">
        <v>550</v>
      </c>
      <c r="J31" s="300">
        <v>550</v>
      </c>
      <c r="K31" s="300">
        <v>549</v>
      </c>
      <c r="L31" s="300">
        <v>549</v>
      </c>
      <c r="M31" s="300">
        <v>549</v>
      </c>
      <c r="N31" s="300">
        <v>548</v>
      </c>
      <c r="O31" s="300">
        <v>548</v>
      </c>
      <c r="P31" s="300">
        <v>548</v>
      </c>
    </row>
    <row r="32" spans="1:16" ht="15">
      <c r="A32" s="298">
        <v>22</v>
      </c>
      <c r="B32" s="299" t="s">
        <v>893</v>
      </c>
      <c r="C32" s="300">
        <v>691</v>
      </c>
      <c r="D32" s="300">
        <v>689</v>
      </c>
      <c r="E32" s="300">
        <v>687</v>
      </c>
      <c r="F32" s="300">
        <v>686</v>
      </c>
      <c r="G32" s="300">
        <v>684</v>
      </c>
      <c r="H32" s="300">
        <v>682</v>
      </c>
      <c r="I32" s="300">
        <v>682</v>
      </c>
      <c r="J32" s="300">
        <v>682</v>
      </c>
      <c r="K32" s="300">
        <v>682</v>
      </c>
      <c r="L32" s="300">
        <v>682</v>
      </c>
      <c r="M32" s="300">
        <v>682</v>
      </c>
      <c r="N32" s="300">
        <v>682</v>
      </c>
      <c r="O32" s="300">
        <v>682</v>
      </c>
      <c r="P32" s="300">
        <v>682</v>
      </c>
    </row>
    <row r="33" spans="1:16" ht="15">
      <c r="A33" s="298">
        <v>23</v>
      </c>
      <c r="B33" s="299" t="s">
        <v>894</v>
      </c>
      <c r="C33" s="300">
        <v>745</v>
      </c>
      <c r="D33" s="300">
        <v>736</v>
      </c>
      <c r="E33" s="300">
        <v>736</v>
      </c>
      <c r="F33" s="300">
        <v>736</v>
      </c>
      <c r="G33" s="300">
        <v>734</v>
      </c>
      <c r="H33" s="300">
        <v>733</v>
      </c>
      <c r="I33" s="300">
        <v>732</v>
      </c>
      <c r="J33" s="300">
        <v>732</v>
      </c>
      <c r="K33" s="300">
        <v>732</v>
      </c>
      <c r="L33" s="300">
        <v>732</v>
      </c>
      <c r="M33" s="300">
        <v>731</v>
      </c>
      <c r="N33" s="300">
        <v>731</v>
      </c>
      <c r="O33" s="300">
        <v>731</v>
      </c>
      <c r="P33" s="300">
        <v>730</v>
      </c>
    </row>
    <row r="34" spans="1:16" ht="15">
      <c r="A34" s="298">
        <v>24</v>
      </c>
      <c r="B34" s="299" t="s">
        <v>895</v>
      </c>
      <c r="C34" s="300">
        <v>1421</v>
      </c>
      <c r="D34" s="300">
        <v>1421</v>
      </c>
      <c r="E34" s="300">
        <v>1421</v>
      </c>
      <c r="F34" s="300">
        <v>1421</v>
      </c>
      <c r="G34" s="300">
        <v>1421</v>
      </c>
      <c r="H34" s="300">
        <v>1420</v>
      </c>
      <c r="I34" s="300">
        <v>1420</v>
      </c>
      <c r="J34" s="300">
        <v>1420</v>
      </c>
      <c r="K34" s="300">
        <v>1420</v>
      </c>
      <c r="L34" s="300">
        <v>1420</v>
      </c>
      <c r="M34" s="300">
        <v>1420</v>
      </c>
      <c r="N34" s="300">
        <v>1420</v>
      </c>
      <c r="O34" s="300">
        <v>1420</v>
      </c>
      <c r="P34" s="300">
        <v>1420</v>
      </c>
    </row>
    <row r="35" spans="1:16" ht="15">
      <c r="A35" s="298">
        <v>25</v>
      </c>
      <c r="B35" s="299" t="s">
        <v>896</v>
      </c>
      <c r="C35" s="300">
        <v>817</v>
      </c>
      <c r="D35" s="300">
        <v>817</v>
      </c>
      <c r="E35" s="300">
        <v>817</v>
      </c>
      <c r="F35" s="300">
        <v>817</v>
      </c>
      <c r="G35" s="300">
        <v>817</v>
      </c>
      <c r="H35" s="300">
        <v>817</v>
      </c>
      <c r="I35" s="300">
        <v>817</v>
      </c>
      <c r="J35" s="300">
        <v>817</v>
      </c>
      <c r="K35" s="300">
        <v>817</v>
      </c>
      <c r="L35" s="300">
        <v>817</v>
      </c>
      <c r="M35" s="300">
        <v>817</v>
      </c>
      <c r="N35" s="300">
        <v>817</v>
      </c>
      <c r="O35" s="300">
        <v>817</v>
      </c>
      <c r="P35" s="300">
        <v>817</v>
      </c>
    </row>
    <row r="36" spans="1:16" ht="15">
      <c r="A36" s="298">
        <v>26</v>
      </c>
      <c r="B36" s="299" t="s">
        <v>897</v>
      </c>
      <c r="C36" s="300">
        <v>318</v>
      </c>
      <c r="D36" s="300">
        <v>315</v>
      </c>
      <c r="E36" s="300">
        <v>314</v>
      </c>
      <c r="F36" s="300">
        <v>314</v>
      </c>
      <c r="G36" s="300">
        <v>314</v>
      </c>
      <c r="H36" s="300">
        <v>314</v>
      </c>
      <c r="I36" s="300">
        <v>314</v>
      </c>
      <c r="J36" s="300">
        <v>314</v>
      </c>
      <c r="K36" s="300">
        <v>314</v>
      </c>
      <c r="L36" s="300">
        <v>314</v>
      </c>
      <c r="M36" s="300">
        <v>314</v>
      </c>
      <c r="N36" s="300">
        <v>183</v>
      </c>
      <c r="O36" s="300">
        <v>142</v>
      </c>
      <c r="P36" s="300">
        <v>141</v>
      </c>
    </row>
    <row r="37" spans="1:16" ht="15">
      <c r="A37" s="298">
        <v>27</v>
      </c>
      <c r="B37" s="299" t="s">
        <v>898</v>
      </c>
      <c r="C37" s="300">
        <v>977</v>
      </c>
      <c r="D37" s="300">
        <v>977</v>
      </c>
      <c r="E37" s="300">
        <v>894</v>
      </c>
      <c r="F37" s="300">
        <v>894</v>
      </c>
      <c r="G37" s="300">
        <v>894</v>
      </c>
      <c r="H37" s="300">
        <v>894</v>
      </c>
      <c r="I37" s="300">
        <v>894</v>
      </c>
      <c r="J37" s="300">
        <v>894</v>
      </c>
      <c r="K37" s="300">
        <v>894</v>
      </c>
      <c r="L37" s="300">
        <v>894</v>
      </c>
      <c r="M37" s="300">
        <v>894</v>
      </c>
      <c r="N37" s="300">
        <v>894</v>
      </c>
      <c r="O37" s="300">
        <v>894</v>
      </c>
      <c r="P37" s="300">
        <v>894</v>
      </c>
    </row>
    <row r="38" spans="1:16" ht="15">
      <c r="A38" s="298">
        <v>28</v>
      </c>
      <c r="B38" s="299" t="s">
        <v>899</v>
      </c>
      <c r="C38" s="300">
        <v>1238</v>
      </c>
      <c r="D38" s="300">
        <v>1219</v>
      </c>
      <c r="E38" s="300">
        <v>1179</v>
      </c>
      <c r="F38" s="300">
        <v>1175</v>
      </c>
      <c r="G38" s="300">
        <v>1175</v>
      </c>
      <c r="H38" s="300">
        <v>1174</v>
      </c>
      <c r="I38" s="300">
        <v>1174</v>
      </c>
      <c r="J38" s="300">
        <v>1174</v>
      </c>
      <c r="K38" s="300">
        <v>1174</v>
      </c>
      <c r="L38" s="300">
        <v>1159</v>
      </c>
      <c r="M38" s="300">
        <v>1147</v>
      </c>
      <c r="N38" s="300">
        <v>992</v>
      </c>
      <c r="O38" s="300">
        <v>889</v>
      </c>
      <c r="P38" s="300">
        <v>780</v>
      </c>
    </row>
    <row r="39" spans="1:16" ht="15">
      <c r="A39" s="298">
        <v>29</v>
      </c>
      <c r="B39" s="299" t="s">
        <v>900</v>
      </c>
      <c r="C39" s="300">
        <v>1323</v>
      </c>
      <c r="D39" s="300">
        <v>1319</v>
      </c>
      <c r="E39" s="300">
        <v>1305</v>
      </c>
      <c r="F39" s="300">
        <v>1305</v>
      </c>
      <c r="G39" s="300">
        <v>1305</v>
      </c>
      <c r="H39" s="300">
        <v>1304</v>
      </c>
      <c r="I39" s="300">
        <v>1304</v>
      </c>
      <c r="J39" s="300">
        <v>1304</v>
      </c>
      <c r="K39" s="300">
        <v>1304</v>
      </c>
      <c r="L39" s="300">
        <v>1296</v>
      </c>
      <c r="M39" s="300">
        <v>1289</v>
      </c>
      <c r="N39" s="300">
        <v>1200</v>
      </c>
      <c r="O39" s="300">
        <v>1000</v>
      </c>
      <c r="P39" s="300">
        <v>899</v>
      </c>
    </row>
    <row r="40" spans="1:16" ht="15">
      <c r="A40" s="298">
        <v>30</v>
      </c>
      <c r="B40" s="299" t="s">
        <v>901</v>
      </c>
      <c r="C40" s="300">
        <v>867</v>
      </c>
      <c r="D40" s="300">
        <v>867</v>
      </c>
      <c r="E40" s="300">
        <v>867</v>
      </c>
      <c r="F40" s="300">
        <v>867</v>
      </c>
      <c r="G40" s="300">
        <v>867</v>
      </c>
      <c r="H40" s="300">
        <v>867</v>
      </c>
      <c r="I40" s="300">
        <v>867</v>
      </c>
      <c r="J40" s="300">
        <v>867</v>
      </c>
      <c r="K40" s="300">
        <v>867</v>
      </c>
      <c r="L40" s="300">
        <v>867</v>
      </c>
      <c r="M40" s="300">
        <v>867</v>
      </c>
      <c r="N40" s="300">
        <v>866</v>
      </c>
      <c r="O40" s="300">
        <v>757</v>
      </c>
      <c r="P40" s="300">
        <v>754</v>
      </c>
    </row>
    <row r="41" spans="1:16" ht="15">
      <c r="A41" s="298">
        <v>31</v>
      </c>
      <c r="B41" s="299" t="s">
        <v>902</v>
      </c>
      <c r="C41" s="300">
        <v>798</v>
      </c>
      <c r="D41" s="300">
        <v>797</v>
      </c>
      <c r="E41" s="300">
        <v>796</v>
      </c>
      <c r="F41" s="300">
        <v>796</v>
      </c>
      <c r="G41" s="300">
        <v>796</v>
      </c>
      <c r="H41" s="300">
        <v>796</v>
      </c>
      <c r="I41" s="300">
        <v>796</v>
      </c>
      <c r="J41" s="300">
        <v>796</v>
      </c>
      <c r="K41" s="300">
        <v>796</v>
      </c>
      <c r="L41" s="300">
        <v>796</v>
      </c>
      <c r="M41" s="300">
        <v>796</v>
      </c>
      <c r="N41" s="300">
        <v>796</v>
      </c>
      <c r="O41" s="300">
        <v>796</v>
      </c>
      <c r="P41" s="300">
        <v>796</v>
      </c>
    </row>
    <row r="42" spans="1:16" ht="15">
      <c r="A42" s="298">
        <v>32</v>
      </c>
      <c r="B42" s="299" t="s">
        <v>903</v>
      </c>
      <c r="C42" s="300">
        <v>1195</v>
      </c>
      <c r="D42" s="300">
        <v>1191</v>
      </c>
      <c r="E42" s="300">
        <v>1187</v>
      </c>
      <c r="F42" s="300">
        <v>1187</v>
      </c>
      <c r="G42" s="300">
        <v>1187</v>
      </c>
      <c r="H42" s="300">
        <v>1187</v>
      </c>
      <c r="I42" s="300">
        <v>1187</v>
      </c>
      <c r="J42" s="300">
        <v>1187</v>
      </c>
      <c r="K42" s="300">
        <v>1187</v>
      </c>
      <c r="L42" s="300">
        <v>1187</v>
      </c>
      <c r="M42" s="300">
        <v>1187</v>
      </c>
      <c r="N42" s="300">
        <v>1187</v>
      </c>
      <c r="O42" s="300">
        <v>1187</v>
      </c>
      <c r="P42" s="300">
        <v>1114</v>
      </c>
    </row>
    <row r="43" spans="1:16" ht="15">
      <c r="A43" s="298">
        <v>33</v>
      </c>
      <c r="B43" s="299" t="s">
        <v>904</v>
      </c>
      <c r="C43" s="300">
        <v>997</v>
      </c>
      <c r="D43" s="300">
        <v>997</v>
      </c>
      <c r="E43" s="300">
        <v>997</v>
      </c>
      <c r="F43" s="300">
        <v>997</v>
      </c>
      <c r="G43" s="300">
        <v>997</v>
      </c>
      <c r="H43" s="300">
        <v>996</v>
      </c>
      <c r="I43" s="300">
        <v>996</v>
      </c>
      <c r="J43" s="300">
        <v>996</v>
      </c>
      <c r="K43" s="300">
        <v>996</v>
      </c>
      <c r="L43" s="300">
        <v>996</v>
      </c>
      <c r="M43" s="300">
        <v>996</v>
      </c>
      <c r="N43" s="300">
        <v>995</v>
      </c>
      <c r="O43" s="300">
        <v>995</v>
      </c>
      <c r="P43" s="300">
        <v>984</v>
      </c>
    </row>
    <row r="44" spans="1:16" ht="15.75">
      <c r="A44" s="302"/>
      <c r="B44" s="303" t="s">
        <v>18</v>
      </c>
      <c r="C44" s="300">
        <v>32767</v>
      </c>
      <c r="D44" s="300">
        <v>32618</v>
      </c>
      <c r="E44" s="300">
        <v>31655</v>
      </c>
      <c r="F44" s="300">
        <v>31649</v>
      </c>
      <c r="G44" s="300">
        <v>31564</v>
      </c>
      <c r="H44" s="300">
        <v>31399</v>
      </c>
      <c r="I44" s="300">
        <v>31359</v>
      </c>
      <c r="J44" s="300">
        <v>31187</v>
      </c>
      <c r="K44" s="300">
        <v>30918</v>
      </c>
      <c r="L44" s="300">
        <v>30862</v>
      </c>
      <c r="M44" s="300">
        <v>30583</v>
      </c>
      <c r="N44" s="300">
        <v>29791</v>
      </c>
      <c r="O44" s="300">
        <v>28144</v>
      </c>
      <c r="P44" s="300">
        <v>25200</v>
      </c>
    </row>
    <row r="45" spans="1:16">
      <c r="A45" s="293"/>
      <c r="B45" s="304"/>
      <c r="C45" s="293"/>
      <c r="D45" s="293"/>
      <c r="E45" s="293"/>
      <c r="F45" s="293"/>
      <c r="G45" s="293"/>
      <c r="H45" s="293"/>
      <c r="I45" s="293"/>
      <c r="J45" s="293"/>
      <c r="K45" s="293"/>
      <c r="L45" s="293"/>
    </row>
    <row r="46" spans="1:16">
      <c r="A46" s="293"/>
      <c r="B46" s="304"/>
      <c r="C46" s="293"/>
      <c r="D46" s="293"/>
      <c r="E46" s="293"/>
      <c r="F46" s="293"/>
      <c r="G46" s="293"/>
      <c r="H46" s="293"/>
      <c r="I46" s="293"/>
      <c r="J46" s="293"/>
      <c r="K46" s="293"/>
      <c r="L46" s="293"/>
    </row>
    <row r="47" spans="1:16" s="1030" customFormat="1" ht="15.6" customHeight="1">
      <c r="A47" s="15" t="s">
        <v>12</v>
      </c>
      <c r="B47" s="15"/>
      <c r="C47" s="15"/>
      <c r="M47" s="1130" t="s">
        <v>1106</v>
      </c>
      <c r="N47" s="1130"/>
      <c r="O47" s="1130"/>
    </row>
    <row r="48" spans="1:16" s="1030" customFormat="1" ht="15.6" customHeight="1">
      <c r="M48" s="1130" t="s">
        <v>481</v>
      </c>
      <c r="N48" s="1130"/>
      <c r="O48" s="1130"/>
    </row>
    <row r="49" spans="1:15" s="1030" customFormat="1" ht="15">
      <c r="M49" s="1130" t="s">
        <v>1107</v>
      </c>
      <c r="N49" s="1130"/>
      <c r="O49" s="1130"/>
    </row>
    <row r="50" spans="1:15">
      <c r="A50" s="293"/>
      <c r="B50" s="304"/>
      <c r="C50" s="293"/>
      <c r="D50" s="293"/>
      <c r="E50" s="293"/>
      <c r="F50" s="293"/>
      <c r="G50" s="293"/>
      <c r="H50" s="1464"/>
      <c r="I50" s="1464"/>
      <c r="J50" s="1464"/>
      <c r="K50" s="1464"/>
      <c r="L50" s="1464"/>
      <c r="M50" s="1464"/>
    </row>
    <row r="51" spans="1:15">
      <c r="A51" s="293"/>
      <c r="B51" s="304"/>
      <c r="C51" s="293"/>
      <c r="D51" s="293"/>
      <c r="E51" s="293"/>
      <c r="F51" s="293"/>
      <c r="G51" s="293"/>
      <c r="H51" s="1464"/>
      <c r="I51" s="1464"/>
      <c r="J51" s="1464"/>
      <c r="K51" s="1464"/>
      <c r="L51" s="1464"/>
      <c r="M51" s="1464"/>
    </row>
    <row r="52" spans="1:15">
      <c r="A52" s="293"/>
      <c r="B52" s="304"/>
      <c r="C52" s="293"/>
      <c r="D52" s="293"/>
      <c r="E52" s="293"/>
      <c r="F52" s="293"/>
      <c r="G52" s="293"/>
      <c r="H52" s="1464"/>
      <c r="I52" s="1464"/>
      <c r="J52" s="1464"/>
      <c r="K52" s="1464"/>
      <c r="L52" s="1464"/>
      <c r="M52" s="1464"/>
    </row>
    <row r="53" spans="1:15">
      <c r="A53" s="293"/>
      <c r="B53" s="304"/>
      <c r="C53" s="293"/>
      <c r="D53" s="293"/>
      <c r="E53" s="293"/>
      <c r="F53" s="293"/>
      <c r="G53" s="293"/>
      <c r="H53" s="1367"/>
      <c r="I53" s="1367"/>
      <c r="J53" s="1367"/>
      <c r="K53" s="1367"/>
    </row>
    <row r="54" spans="1:15">
      <c r="A54" s="293"/>
      <c r="B54" s="304"/>
      <c r="C54" s="293"/>
      <c r="D54" s="293"/>
      <c r="E54" s="293"/>
      <c r="F54" s="293"/>
      <c r="G54" s="293"/>
      <c r="H54" s="293"/>
      <c r="I54" s="293"/>
      <c r="J54" s="293"/>
      <c r="K54" s="293"/>
      <c r="L54" s="293"/>
    </row>
    <row r="55" spans="1:15">
      <c r="A55" s="293"/>
      <c r="B55" s="304"/>
      <c r="C55" s="293"/>
      <c r="D55" s="293"/>
      <c r="E55" s="293"/>
      <c r="F55" s="293"/>
      <c r="G55" s="293"/>
      <c r="H55" s="293"/>
      <c r="I55" s="293"/>
      <c r="J55" s="293"/>
      <c r="K55" s="293"/>
      <c r="L55" s="293"/>
    </row>
    <row r="56" spans="1:15">
      <c r="A56" s="293"/>
      <c r="B56" s="304"/>
      <c r="C56" s="293"/>
      <c r="D56" s="293"/>
      <c r="E56" s="293"/>
      <c r="F56" s="293"/>
      <c r="G56" s="293"/>
      <c r="H56" s="293"/>
      <c r="I56" s="293"/>
      <c r="J56" s="293"/>
      <c r="K56" s="293"/>
      <c r="L56" s="293"/>
    </row>
  </sheetData>
  <mergeCells count="18">
    <mergeCell ref="K1:M1"/>
    <mergeCell ref="A3:L3"/>
    <mergeCell ref="A4:L4"/>
    <mergeCell ref="I7:L7"/>
    <mergeCell ref="A8:A9"/>
    <mergeCell ref="B8:B9"/>
    <mergeCell ref="H1:I1"/>
    <mergeCell ref="D2:G2"/>
    <mergeCell ref="H53:K53"/>
    <mergeCell ref="C8:C9"/>
    <mergeCell ref="D8:D9"/>
    <mergeCell ref="E8:P8"/>
    <mergeCell ref="H50:M50"/>
    <mergeCell ref="H51:M51"/>
    <mergeCell ref="H52:M52"/>
    <mergeCell ref="M47:O47"/>
    <mergeCell ref="M48:O48"/>
    <mergeCell ref="M49:O49"/>
  </mergeCells>
  <printOptions horizontalCentered="1"/>
  <pageMargins left="0.70866141732283472" right="0.70866141732283472" top="0.63" bottom="0" header="0.79" footer="0.31496062992125984"/>
  <pageSetup paperSize="9" scale="74"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P49"/>
  <sheetViews>
    <sheetView topLeftCell="A35" zoomScaleSheetLayoutView="90" workbookViewId="0">
      <selection activeCell="C50" sqref="C50"/>
    </sheetView>
  </sheetViews>
  <sheetFormatPr defaultRowHeight="15"/>
  <cols>
    <col min="1" max="1" width="8.5703125" customWidth="1"/>
    <col min="2" max="2" width="23.140625" style="759" customWidth="1"/>
    <col min="3" max="3" width="11.140625" customWidth="1"/>
    <col min="4" max="4" width="17.140625" customWidth="1"/>
    <col min="5" max="5" width="9.140625" customWidth="1"/>
    <col min="6" max="6" width="9.28515625" bestFit="1" customWidth="1"/>
    <col min="7" max="7" width="7.85546875" customWidth="1"/>
    <col min="8" max="8" width="8.42578125" customWidth="1"/>
    <col min="9" max="9" width="9.28515625" customWidth="1"/>
    <col min="10" max="10" width="10.28515625" customWidth="1"/>
    <col min="11" max="11" width="9.140625" customWidth="1"/>
    <col min="12" max="12" width="10.140625" customWidth="1"/>
    <col min="13" max="13" width="11" customWidth="1"/>
    <col min="16" max="16" width="11" customWidth="1"/>
  </cols>
  <sheetData>
    <row r="1" spans="1:16" ht="12.75">
      <c r="A1" s="737" t="s">
        <v>1098</v>
      </c>
      <c r="B1" s="738"/>
      <c r="C1" s="737"/>
      <c r="D1" s="737"/>
      <c r="E1" s="737"/>
      <c r="F1" s="737"/>
      <c r="G1" s="737"/>
      <c r="H1" s="1472"/>
      <c r="I1" s="1472"/>
      <c r="J1" s="737"/>
      <c r="K1" s="737"/>
      <c r="L1" s="1471" t="s">
        <v>546</v>
      </c>
      <c r="M1" s="1471"/>
      <c r="N1" s="737"/>
      <c r="O1" s="737"/>
      <c r="P1" s="737"/>
    </row>
    <row r="2" spans="1:16" ht="12.75">
      <c r="A2" s="737"/>
      <c r="B2" s="738"/>
      <c r="C2" s="1472" t="s">
        <v>670</v>
      </c>
      <c r="D2" s="1472"/>
      <c r="E2" s="1472"/>
      <c r="F2" s="1472"/>
      <c r="G2" s="1472"/>
      <c r="H2" s="1472"/>
      <c r="I2" s="1472"/>
      <c r="J2" s="1472"/>
      <c r="K2" s="737"/>
      <c r="L2" s="183"/>
      <c r="M2" s="737"/>
      <c r="N2" s="737"/>
      <c r="O2" s="737"/>
      <c r="P2" s="737"/>
    </row>
    <row r="3" spans="1:16" ht="15.75">
      <c r="A3" s="1473" t="s">
        <v>669</v>
      </c>
      <c r="B3" s="1473"/>
      <c r="C3" s="1473"/>
      <c r="D3" s="1473"/>
      <c r="E3" s="1473"/>
      <c r="F3" s="1473"/>
      <c r="G3" s="1473"/>
      <c r="H3" s="1473"/>
      <c r="I3" s="1473"/>
      <c r="J3" s="1473"/>
      <c r="K3" s="1473"/>
      <c r="L3" s="1473"/>
      <c r="M3" s="1473"/>
      <c r="N3" s="184"/>
      <c r="O3" s="184"/>
      <c r="P3" s="184"/>
    </row>
    <row r="4" spans="1:16" ht="15.75">
      <c r="A4" s="1473" t="s">
        <v>671</v>
      </c>
      <c r="B4" s="1473"/>
      <c r="C4" s="1473"/>
      <c r="D4" s="1473"/>
      <c r="E4" s="1473"/>
      <c r="F4" s="1473"/>
      <c r="G4" s="1473"/>
      <c r="H4" s="1473"/>
      <c r="I4" s="1473"/>
      <c r="J4" s="1473"/>
      <c r="K4" s="1473"/>
      <c r="L4" s="1473"/>
      <c r="M4" s="1473"/>
      <c r="N4" s="184"/>
      <c r="O4" s="184"/>
      <c r="P4" s="184"/>
    </row>
    <row r="5" spans="1:16" ht="12.75">
      <c r="A5" s="185" t="s">
        <v>163</v>
      </c>
      <c r="B5" s="186" t="s">
        <v>860</v>
      </c>
      <c r="C5" s="187"/>
      <c r="D5" s="187"/>
      <c r="E5" s="187"/>
      <c r="F5" s="187"/>
      <c r="G5" s="187"/>
      <c r="H5" s="187"/>
      <c r="I5" s="187"/>
      <c r="J5" s="187"/>
      <c r="K5" s="737"/>
      <c r="L5" s="737"/>
      <c r="M5" s="737"/>
      <c r="N5" s="737"/>
      <c r="O5" s="737"/>
      <c r="P5" s="737"/>
    </row>
    <row r="6" spans="1:16" ht="12.75">
      <c r="A6" s="181"/>
      <c r="B6" s="181"/>
      <c r="C6" s="181"/>
      <c r="D6" s="181"/>
      <c r="E6" s="181"/>
      <c r="F6" s="181"/>
      <c r="G6" s="181"/>
      <c r="H6" s="181"/>
      <c r="I6" s="181"/>
      <c r="J6" s="181"/>
      <c r="K6" s="1477" t="s">
        <v>792</v>
      </c>
      <c r="L6" s="1477"/>
      <c r="M6" s="1477"/>
      <c r="N6" s="1477"/>
      <c r="O6" s="1477"/>
      <c r="P6" s="1477"/>
    </row>
    <row r="7" spans="1:16" ht="12.75" customHeight="1">
      <c r="A7" s="1474" t="s">
        <v>2</v>
      </c>
      <c r="B7" s="1474" t="s">
        <v>3</v>
      </c>
      <c r="C7" s="1316" t="s">
        <v>277</v>
      </c>
      <c r="D7" s="1316" t="s">
        <v>545</v>
      </c>
      <c r="E7" s="1476" t="s">
        <v>719</v>
      </c>
      <c r="F7" s="1476"/>
      <c r="G7" s="1476"/>
      <c r="H7" s="1476"/>
      <c r="I7" s="1476"/>
      <c r="J7" s="1476"/>
      <c r="K7" s="1476"/>
      <c r="L7" s="1476"/>
      <c r="M7" s="1476"/>
      <c r="N7" s="1476"/>
      <c r="O7" s="1476"/>
      <c r="P7" s="1476"/>
    </row>
    <row r="8" spans="1:16" ht="47.25" customHeight="1">
      <c r="A8" s="1475"/>
      <c r="B8" s="1475"/>
      <c r="C8" s="1317"/>
      <c r="D8" s="1317"/>
      <c r="E8" s="239" t="s">
        <v>799</v>
      </c>
      <c r="F8" s="239" t="s">
        <v>279</v>
      </c>
      <c r="G8" s="239" t="s">
        <v>280</v>
      </c>
      <c r="H8" s="239" t="s">
        <v>281</v>
      </c>
      <c r="I8" s="239" t="s">
        <v>282</v>
      </c>
      <c r="J8" s="239" t="s">
        <v>283</v>
      </c>
      <c r="K8" s="239" t="s">
        <v>284</v>
      </c>
      <c r="L8" s="239" t="s">
        <v>285</v>
      </c>
      <c r="M8" s="239" t="s">
        <v>800</v>
      </c>
      <c r="N8" s="198" t="s">
        <v>801</v>
      </c>
      <c r="O8" s="198" t="s">
        <v>797</v>
      </c>
      <c r="P8" s="198" t="s">
        <v>798</v>
      </c>
    </row>
    <row r="9" spans="1:16">
      <c r="A9" s="739">
        <v>1</v>
      </c>
      <c r="B9" s="739">
        <v>2</v>
      </c>
      <c r="C9" s="739">
        <v>3</v>
      </c>
      <c r="D9" s="739">
        <v>4</v>
      </c>
      <c r="E9" s="739">
        <v>5</v>
      </c>
      <c r="F9" s="739">
        <v>6</v>
      </c>
      <c r="G9" s="739">
        <v>7</v>
      </c>
      <c r="H9" s="739">
        <v>8</v>
      </c>
      <c r="I9" s="739">
        <v>9</v>
      </c>
      <c r="J9" s="739">
        <v>10</v>
      </c>
      <c r="K9" s="739">
        <v>11</v>
      </c>
      <c r="L9" s="739">
        <v>12</v>
      </c>
      <c r="M9" s="739">
        <v>13</v>
      </c>
      <c r="N9" s="739">
        <v>14</v>
      </c>
      <c r="O9" s="739">
        <v>15</v>
      </c>
      <c r="P9" s="739">
        <v>16</v>
      </c>
    </row>
    <row r="10" spans="1:16">
      <c r="A10" s="740">
        <v>1</v>
      </c>
      <c r="B10" s="741" t="s">
        <v>1004</v>
      </c>
      <c r="C10" s="399">
        <v>1354</v>
      </c>
      <c r="D10" s="742">
        <v>1215</v>
      </c>
      <c r="E10" s="743">
        <v>810.59999999999991</v>
      </c>
      <c r="F10" s="1468" t="s">
        <v>1056</v>
      </c>
      <c r="G10" s="744">
        <v>454</v>
      </c>
      <c r="H10" s="744">
        <v>668</v>
      </c>
      <c r="I10" s="744">
        <v>782</v>
      </c>
      <c r="J10" s="744">
        <v>947</v>
      </c>
      <c r="K10" s="744">
        <v>898</v>
      </c>
      <c r="L10" s="620">
        <v>872</v>
      </c>
      <c r="M10" s="620">
        <v>996</v>
      </c>
      <c r="N10" s="745">
        <v>1031</v>
      </c>
      <c r="O10" s="745">
        <v>1027</v>
      </c>
      <c r="P10" s="745">
        <v>1044</v>
      </c>
    </row>
    <row r="11" spans="1:16">
      <c r="A11" s="740">
        <v>2</v>
      </c>
      <c r="B11" s="741" t="s">
        <v>873</v>
      </c>
      <c r="C11" s="399">
        <v>789</v>
      </c>
      <c r="D11" s="742">
        <v>790</v>
      </c>
      <c r="E11" s="742">
        <v>553</v>
      </c>
      <c r="F11" s="1468"/>
      <c r="G11" s="744">
        <v>547</v>
      </c>
      <c r="H11" s="744">
        <v>683</v>
      </c>
      <c r="I11" s="744">
        <v>679</v>
      </c>
      <c r="J11" s="744">
        <v>692</v>
      </c>
      <c r="K11" s="744">
        <v>675</v>
      </c>
      <c r="L11" s="620">
        <v>668</v>
      </c>
      <c r="M11" s="620">
        <v>687</v>
      </c>
      <c r="N11" s="745">
        <v>718</v>
      </c>
      <c r="O11" s="745">
        <v>729</v>
      </c>
      <c r="P11" s="745">
        <v>714</v>
      </c>
    </row>
    <row r="12" spans="1:16">
      <c r="A12" s="740">
        <v>3</v>
      </c>
      <c r="B12" s="741" t="s">
        <v>874</v>
      </c>
      <c r="C12" s="399">
        <v>1113</v>
      </c>
      <c r="D12" s="742">
        <v>1088</v>
      </c>
      <c r="E12" s="743">
        <v>760.9</v>
      </c>
      <c r="F12" s="1468"/>
      <c r="G12" s="744">
        <v>856</v>
      </c>
      <c r="H12" s="744">
        <v>969</v>
      </c>
      <c r="I12" s="744">
        <v>998</v>
      </c>
      <c r="J12" s="744">
        <v>1083</v>
      </c>
      <c r="K12" s="744">
        <v>1080</v>
      </c>
      <c r="L12" s="620">
        <v>987</v>
      </c>
      <c r="M12" s="620">
        <v>993</v>
      </c>
      <c r="N12" s="745">
        <v>1002</v>
      </c>
      <c r="O12" s="745">
        <v>984</v>
      </c>
      <c r="P12" s="745">
        <v>969</v>
      </c>
    </row>
    <row r="13" spans="1:16">
      <c r="A13" s="740">
        <v>4</v>
      </c>
      <c r="B13" s="741" t="s">
        <v>1057</v>
      </c>
      <c r="C13" s="399">
        <v>1258</v>
      </c>
      <c r="D13" s="742">
        <v>1257</v>
      </c>
      <c r="E13" s="743">
        <v>879.9</v>
      </c>
      <c r="F13" s="1468"/>
      <c r="G13" s="744">
        <v>943</v>
      </c>
      <c r="H13" s="744">
        <v>1088</v>
      </c>
      <c r="I13" s="744">
        <v>1039</v>
      </c>
      <c r="J13" s="744">
        <v>1054</v>
      </c>
      <c r="K13" s="744">
        <v>1039</v>
      </c>
      <c r="L13" s="620">
        <v>802</v>
      </c>
      <c r="M13" s="620">
        <v>887</v>
      </c>
      <c r="N13" s="745">
        <v>976</v>
      </c>
      <c r="O13" s="745">
        <v>1008</v>
      </c>
      <c r="P13" s="745">
        <v>1054</v>
      </c>
    </row>
    <row r="14" spans="1:16">
      <c r="A14" s="740">
        <v>5</v>
      </c>
      <c r="B14" s="746" t="s">
        <v>876</v>
      </c>
      <c r="C14" s="399">
        <v>2366</v>
      </c>
      <c r="D14" s="747">
        <v>2356</v>
      </c>
      <c r="E14" s="743">
        <v>1649.1999999999998</v>
      </c>
      <c r="F14" s="1468"/>
      <c r="G14" s="744">
        <v>717</v>
      </c>
      <c r="H14" s="744">
        <v>1245</v>
      </c>
      <c r="I14" s="744">
        <v>1599</v>
      </c>
      <c r="J14" s="744">
        <v>1720</v>
      </c>
      <c r="K14" s="744">
        <v>1648</v>
      </c>
      <c r="L14" s="620">
        <v>1709</v>
      </c>
      <c r="M14" s="620">
        <v>1866</v>
      </c>
      <c r="N14" s="745">
        <v>1905</v>
      </c>
      <c r="O14" s="745">
        <v>1946</v>
      </c>
      <c r="P14" s="745">
        <v>1947</v>
      </c>
    </row>
    <row r="15" spans="1:16">
      <c r="A15" s="740">
        <v>6</v>
      </c>
      <c r="B15" s="741" t="s">
        <v>877</v>
      </c>
      <c r="C15" s="399">
        <v>956</v>
      </c>
      <c r="D15" s="742">
        <v>937</v>
      </c>
      <c r="E15" s="743">
        <v>655.9</v>
      </c>
      <c r="F15" s="1468"/>
      <c r="G15" s="744">
        <v>460</v>
      </c>
      <c r="H15" s="744">
        <v>623</v>
      </c>
      <c r="I15" s="744">
        <v>629</v>
      </c>
      <c r="J15" s="744">
        <v>681</v>
      </c>
      <c r="K15" s="744">
        <v>660</v>
      </c>
      <c r="L15" s="620">
        <v>441</v>
      </c>
      <c r="M15" s="620">
        <v>547</v>
      </c>
      <c r="N15" s="745">
        <v>596</v>
      </c>
      <c r="O15" s="745">
        <v>646</v>
      </c>
      <c r="P15" s="745">
        <v>639</v>
      </c>
    </row>
    <row r="16" spans="1:16">
      <c r="A16" s="740">
        <v>7</v>
      </c>
      <c r="B16" s="746" t="s">
        <v>878</v>
      </c>
      <c r="C16" s="399">
        <v>1053</v>
      </c>
      <c r="D16" s="747">
        <v>1000</v>
      </c>
      <c r="E16" s="743">
        <v>700.69999999999993</v>
      </c>
      <c r="F16" s="1468"/>
      <c r="G16" s="744">
        <v>683</v>
      </c>
      <c r="H16" s="744">
        <v>820</v>
      </c>
      <c r="I16" s="744">
        <v>759</v>
      </c>
      <c r="J16" s="744">
        <v>817</v>
      </c>
      <c r="K16" s="744">
        <v>778</v>
      </c>
      <c r="L16" s="620">
        <v>635</v>
      </c>
      <c r="M16" s="620">
        <v>740</v>
      </c>
      <c r="N16" s="745">
        <v>737</v>
      </c>
      <c r="O16" s="745">
        <v>704</v>
      </c>
      <c r="P16" s="745">
        <v>708</v>
      </c>
    </row>
    <row r="17" spans="1:16">
      <c r="A17" s="740">
        <v>8</v>
      </c>
      <c r="B17" s="746" t="s">
        <v>879</v>
      </c>
      <c r="C17" s="399">
        <v>253</v>
      </c>
      <c r="D17" s="747">
        <v>253</v>
      </c>
      <c r="E17" s="743">
        <v>177.1</v>
      </c>
      <c r="F17" s="1468"/>
      <c r="G17" s="744">
        <v>181</v>
      </c>
      <c r="H17" s="744">
        <v>230</v>
      </c>
      <c r="I17" s="744">
        <v>245</v>
      </c>
      <c r="J17" s="744">
        <v>248</v>
      </c>
      <c r="K17" s="744">
        <v>247</v>
      </c>
      <c r="L17" s="620">
        <v>243</v>
      </c>
      <c r="M17" s="620">
        <v>243</v>
      </c>
      <c r="N17" s="745">
        <v>247</v>
      </c>
      <c r="O17" s="745">
        <v>242</v>
      </c>
      <c r="P17" s="745">
        <v>237</v>
      </c>
    </row>
    <row r="18" spans="1:16">
      <c r="A18" s="740">
        <v>9</v>
      </c>
      <c r="B18" s="748" t="s">
        <v>880</v>
      </c>
      <c r="C18" s="399">
        <v>1270</v>
      </c>
      <c r="D18" s="749">
        <v>1258</v>
      </c>
      <c r="E18" s="743">
        <v>880.59999999999991</v>
      </c>
      <c r="F18" s="1468"/>
      <c r="G18" s="744">
        <v>150</v>
      </c>
      <c r="H18" s="744">
        <v>219</v>
      </c>
      <c r="I18" s="744">
        <v>497</v>
      </c>
      <c r="J18" s="744">
        <v>645</v>
      </c>
      <c r="K18" s="744">
        <v>635</v>
      </c>
      <c r="L18" s="620">
        <v>541</v>
      </c>
      <c r="M18" s="620">
        <v>544</v>
      </c>
      <c r="N18" s="745">
        <v>551</v>
      </c>
      <c r="O18" s="745">
        <v>610</v>
      </c>
      <c r="P18" s="745">
        <v>576</v>
      </c>
    </row>
    <row r="19" spans="1:16" ht="17.25" customHeight="1">
      <c r="A19" s="750">
        <v>10</v>
      </c>
      <c r="B19" s="751" t="s">
        <v>1058</v>
      </c>
      <c r="C19" s="752">
        <v>646</v>
      </c>
      <c r="D19" s="753">
        <v>639</v>
      </c>
      <c r="E19" s="754">
        <v>448.7</v>
      </c>
      <c r="F19" s="1468"/>
      <c r="G19" s="755">
        <v>217</v>
      </c>
      <c r="H19" s="755">
        <v>309</v>
      </c>
      <c r="I19" s="755">
        <v>444</v>
      </c>
      <c r="J19" s="755">
        <v>532</v>
      </c>
      <c r="K19" s="755">
        <v>520</v>
      </c>
      <c r="L19" s="622">
        <v>934</v>
      </c>
      <c r="M19" s="622">
        <v>887</v>
      </c>
      <c r="N19" s="614">
        <v>560</v>
      </c>
      <c r="O19" s="614">
        <v>570</v>
      </c>
      <c r="P19" s="614">
        <v>571</v>
      </c>
    </row>
    <row r="20" spans="1:16">
      <c r="A20" s="740">
        <v>11</v>
      </c>
      <c r="B20" s="746" t="s">
        <v>1008</v>
      </c>
      <c r="C20" s="752">
        <v>1680</v>
      </c>
      <c r="D20" s="747">
        <v>1649</v>
      </c>
      <c r="E20" s="743">
        <v>1154.3</v>
      </c>
      <c r="F20" s="1468"/>
      <c r="G20" s="744">
        <v>563</v>
      </c>
      <c r="H20" s="744">
        <v>790</v>
      </c>
      <c r="I20" s="744">
        <v>1311</v>
      </c>
      <c r="J20" s="744">
        <v>1400</v>
      </c>
      <c r="K20" s="744">
        <v>1326</v>
      </c>
      <c r="L20" s="620">
        <v>518</v>
      </c>
      <c r="M20" s="620">
        <v>538</v>
      </c>
      <c r="N20" s="745">
        <v>1108</v>
      </c>
      <c r="O20" s="745">
        <v>1456</v>
      </c>
      <c r="P20" s="745">
        <v>1418</v>
      </c>
    </row>
    <row r="21" spans="1:16">
      <c r="A21" s="740">
        <v>12</v>
      </c>
      <c r="B21" s="746" t="s">
        <v>884</v>
      </c>
      <c r="C21" s="399">
        <v>691</v>
      </c>
      <c r="D21" s="747">
        <v>644</v>
      </c>
      <c r="E21" s="743">
        <v>448.7</v>
      </c>
      <c r="F21" s="1468"/>
      <c r="G21" s="744">
        <v>202</v>
      </c>
      <c r="H21" s="744">
        <v>450</v>
      </c>
      <c r="I21" s="744">
        <v>525</v>
      </c>
      <c r="J21" s="744">
        <v>584</v>
      </c>
      <c r="K21" s="744">
        <v>564</v>
      </c>
      <c r="L21" s="620">
        <v>513</v>
      </c>
      <c r="M21" s="620">
        <v>597</v>
      </c>
      <c r="N21" s="745">
        <v>581</v>
      </c>
      <c r="O21" s="745">
        <v>569</v>
      </c>
      <c r="P21" s="745">
        <v>570</v>
      </c>
    </row>
    <row r="22" spans="1:16">
      <c r="A22" s="740">
        <v>13</v>
      </c>
      <c r="B22" s="746" t="s">
        <v>885</v>
      </c>
      <c r="C22" s="399">
        <v>559</v>
      </c>
      <c r="D22" s="747">
        <v>555</v>
      </c>
      <c r="E22" s="743">
        <v>388.5</v>
      </c>
      <c r="F22" s="1468"/>
      <c r="G22" s="744">
        <v>300</v>
      </c>
      <c r="H22" s="744">
        <v>368</v>
      </c>
      <c r="I22" s="744">
        <v>386</v>
      </c>
      <c r="J22" s="744">
        <v>406</v>
      </c>
      <c r="K22" s="744">
        <v>375</v>
      </c>
      <c r="L22" s="620">
        <v>364</v>
      </c>
      <c r="M22" s="620">
        <v>426</v>
      </c>
      <c r="N22" s="745">
        <v>425</v>
      </c>
      <c r="O22" s="745">
        <v>429</v>
      </c>
      <c r="P22" s="745">
        <v>425</v>
      </c>
    </row>
    <row r="23" spans="1:16">
      <c r="A23" s="740">
        <v>14</v>
      </c>
      <c r="B23" s="746" t="s">
        <v>886</v>
      </c>
      <c r="C23" s="399">
        <v>780</v>
      </c>
      <c r="D23" s="747">
        <v>754</v>
      </c>
      <c r="E23" s="743">
        <v>527.79999999999995</v>
      </c>
      <c r="F23" s="1468"/>
      <c r="G23" s="744">
        <v>639</v>
      </c>
      <c r="H23" s="744">
        <v>642</v>
      </c>
      <c r="I23" s="744">
        <v>596</v>
      </c>
      <c r="J23" s="744">
        <v>622</v>
      </c>
      <c r="K23" s="744">
        <v>614</v>
      </c>
      <c r="L23" s="620">
        <v>596</v>
      </c>
      <c r="M23" s="620">
        <v>603</v>
      </c>
      <c r="N23" s="745">
        <v>606</v>
      </c>
      <c r="O23" s="745">
        <v>609</v>
      </c>
      <c r="P23" s="745">
        <v>603</v>
      </c>
    </row>
    <row r="24" spans="1:16">
      <c r="A24" s="740">
        <v>15</v>
      </c>
      <c r="B24" s="746" t="s">
        <v>887</v>
      </c>
      <c r="C24" s="399">
        <v>772</v>
      </c>
      <c r="D24" s="747">
        <v>766</v>
      </c>
      <c r="E24" s="743">
        <v>536.19999999999993</v>
      </c>
      <c r="F24" s="1468"/>
      <c r="G24" s="744">
        <v>528</v>
      </c>
      <c r="H24" s="744">
        <v>618</v>
      </c>
      <c r="I24" s="744">
        <v>639</v>
      </c>
      <c r="J24" s="744">
        <v>662</v>
      </c>
      <c r="K24" s="744">
        <v>678</v>
      </c>
      <c r="L24" s="620">
        <v>637</v>
      </c>
      <c r="M24" s="620">
        <v>663</v>
      </c>
      <c r="N24" s="745">
        <v>668</v>
      </c>
      <c r="O24" s="745">
        <v>661</v>
      </c>
      <c r="P24" s="745">
        <v>656</v>
      </c>
    </row>
    <row r="25" spans="1:16">
      <c r="A25" s="740">
        <v>16</v>
      </c>
      <c r="B25" s="741" t="s">
        <v>888</v>
      </c>
      <c r="C25" s="752">
        <v>1736</v>
      </c>
      <c r="D25" s="742">
        <v>1740</v>
      </c>
      <c r="E25" s="743">
        <v>1217.3</v>
      </c>
      <c r="F25" s="1468"/>
      <c r="G25" s="744">
        <v>848</v>
      </c>
      <c r="H25" s="744">
        <v>1017</v>
      </c>
      <c r="I25" s="744">
        <v>1003</v>
      </c>
      <c r="J25" s="744">
        <v>1071</v>
      </c>
      <c r="K25" s="744">
        <v>1039</v>
      </c>
      <c r="L25" s="620">
        <v>954</v>
      </c>
      <c r="M25" s="620">
        <v>1085</v>
      </c>
      <c r="N25" s="745">
        <v>1086</v>
      </c>
      <c r="O25" s="745">
        <v>1080</v>
      </c>
      <c r="P25" s="745">
        <v>955</v>
      </c>
    </row>
    <row r="26" spans="1:16">
      <c r="A26" s="740">
        <v>17</v>
      </c>
      <c r="B26" s="746" t="s">
        <v>889</v>
      </c>
      <c r="C26" s="752">
        <v>1432</v>
      </c>
      <c r="D26" s="747">
        <v>1439</v>
      </c>
      <c r="E26" s="743">
        <v>1002.4</v>
      </c>
      <c r="F26" s="1468"/>
      <c r="G26" s="744">
        <v>998</v>
      </c>
      <c r="H26" s="744">
        <v>1196</v>
      </c>
      <c r="I26" s="744">
        <v>1152</v>
      </c>
      <c r="J26" s="744">
        <v>1232</v>
      </c>
      <c r="K26" s="744">
        <v>1262</v>
      </c>
      <c r="L26" s="620">
        <v>1107</v>
      </c>
      <c r="M26" s="620">
        <v>1130</v>
      </c>
      <c r="N26" s="745">
        <v>1182</v>
      </c>
      <c r="O26" s="745">
        <v>1203</v>
      </c>
      <c r="P26" s="745">
        <v>1240</v>
      </c>
    </row>
    <row r="27" spans="1:16">
      <c r="A27" s="740">
        <v>18</v>
      </c>
      <c r="B27" s="746" t="s">
        <v>890</v>
      </c>
      <c r="C27" s="752">
        <v>1058</v>
      </c>
      <c r="D27" s="747">
        <v>1054</v>
      </c>
      <c r="E27" s="743">
        <v>738.5</v>
      </c>
      <c r="F27" s="1468"/>
      <c r="G27" s="744">
        <v>656</v>
      </c>
      <c r="H27" s="744">
        <v>887</v>
      </c>
      <c r="I27" s="744">
        <v>878</v>
      </c>
      <c r="J27" s="744">
        <v>941</v>
      </c>
      <c r="K27" s="744">
        <v>897</v>
      </c>
      <c r="L27" s="620">
        <v>844</v>
      </c>
      <c r="M27" s="620">
        <v>891</v>
      </c>
      <c r="N27" s="745">
        <v>896</v>
      </c>
      <c r="O27" s="745">
        <v>884</v>
      </c>
      <c r="P27" s="745">
        <v>879</v>
      </c>
    </row>
    <row r="28" spans="1:16">
      <c r="A28" s="740">
        <v>19</v>
      </c>
      <c r="B28" s="741" t="s">
        <v>891</v>
      </c>
      <c r="C28" s="752">
        <v>1239</v>
      </c>
      <c r="D28" s="742">
        <v>1231</v>
      </c>
      <c r="E28" s="743">
        <v>861</v>
      </c>
      <c r="F28" s="1468"/>
      <c r="G28" s="744">
        <v>159</v>
      </c>
      <c r="H28" s="744">
        <v>617</v>
      </c>
      <c r="I28" s="744">
        <v>675</v>
      </c>
      <c r="J28" s="744">
        <v>929</v>
      </c>
      <c r="K28" s="744">
        <v>961</v>
      </c>
      <c r="L28" s="620">
        <v>827</v>
      </c>
      <c r="M28" s="620">
        <v>866</v>
      </c>
      <c r="N28" s="745">
        <v>887</v>
      </c>
      <c r="O28" s="745">
        <v>937</v>
      </c>
      <c r="P28" s="745">
        <v>948</v>
      </c>
    </row>
    <row r="29" spans="1:16">
      <c r="A29" s="740">
        <v>20</v>
      </c>
      <c r="B29" s="741" t="s">
        <v>892</v>
      </c>
      <c r="C29" s="752">
        <v>599</v>
      </c>
      <c r="D29" s="742">
        <v>593</v>
      </c>
      <c r="E29" s="743">
        <v>415.09999999999997</v>
      </c>
      <c r="F29" s="1468"/>
      <c r="G29" s="744">
        <v>260</v>
      </c>
      <c r="H29" s="744">
        <v>387</v>
      </c>
      <c r="I29" s="744">
        <v>401</v>
      </c>
      <c r="J29" s="744">
        <v>493</v>
      </c>
      <c r="K29" s="744">
        <v>466</v>
      </c>
      <c r="L29" s="620">
        <v>456</v>
      </c>
      <c r="M29" s="620">
        <v>474</v>
      </c>
      <c r="N29" s="745">
        <v>466</v>
      </c>
      <c r="O29" s="745">
        <v>476</v>
      </c>
      <c r="P29" s="745">
        <v>446</v>
      </c>
    </row>
    <row r="30" spans="1:16">
      <c r="A30" s="740">
        <v>21</v>
      </c>
      <c r="B30" s="746" t="s">
        <v>893</v>
      </c>
      <c r="C30" s="752">
        <v>695</v>
      </c>
      <c r="D30" s="747">
        <v>691</v>
      </c>
      <c r="E30" s="743">
        <v>483.7</v>
      </c>
      <c r="F30" s="1468"/>
      <c r="G30" s="744">
        <v>218</v>
      </c>
      <c r="H30" s="744">
        <v>434</v>
      </c>
      <c r="I30" s="744">
        <v>408</v>
      </c>
      <c r="J30" s="744">
        <v>447</v>
      </c>
      <c r="K30" s="744">
        <v>443</v>
      </c>
      <c r="L30" s="620">
        <v>285</v>
      </c>
      <c r="M30" s="620">
        <v>316</v>
      </c>
      <c r="N30" s="745">
        <v>322</v>
      </c>
      <c r="O30" s="745">
        <v>312</v>
      </c>
      <c r="P30" s="745">
        <v>333</v>
      </c>
    </row>
    <row r="31" spans="1:16">
      <c r="A31" s="740">
        <v>22</v>
      </c>
      <c r="B31" s="746" t="s">
        <v>894</v>
      </c>
      <c r="C31" s="752">
        <v>750</v>
      </c>
      <c r="D31" s="747">
        <v>734</v>
      </c>
      <c r="E31" s="743">
        <v>512.4</v>
      </c>
      <c r="F31" s="1468"/>
      <c r="G31" s="744">
        <v>437</v>
      </c>
      <c r="H31" s="744">
        <v>486</v>
      </c>
      <c r="I31" s="744">
        <v>527</v>
      </c>
      <c r="J31" s="744">
        <v>584</v>
      </c>
      <c r="K31" s="744">
        <v>575</v>
      </c>
      <c r="L31" s="620">
        <v>468</v>
      </c>
      <c r="M31" s="620">
        <v>488</v>
      </c>
      <c r="N31" s="745">
        <v>487</v>
      </c>
      <c r="O31" s="745">
        <v>496</v>
      </c>
      <c r="P31" s="745">
        <v>505</v>
      </c>
    </row>
    <row r="32" spans="1:16">
      <c r="A32" s="740">
        <v>23</v>
      </c>
      <c r="B32" s="741" t="s">
        <v>895</v>
      </c>
      <c r="C32" s="752">
        <v>1438</v>
      </c>
      <c r="D32" s="742">
        <v>1420</v>
      </c>
      <c r="E32" s="743">
        <v>993.99999999999989</v>
      </c>
      <c r="F32" s="1468"/>
      <c r="G32" s="744">
        <v>642</v>
      </c>
      <c r="H32" s="744">
        <v>1060</v>
      </c>
      <c r="I32" s="744">
        <v>1070</v>
      </c>
      <c r="J32" s="744">
        <v>1142</v>
      </c>
      <c r="K32" s="744">
        <v>1089</v>
      </c>
      <c r="L32" s="620">
        <v>917</v>
      </c>
      <c r="M32" s="620">
        <v>1006</v>
      </c>
      <c r="N32" s="745">
        <v>997</v>
      </c>
      <c r="O32" s="745">
        <v>1048</v>
      </c>
      <c r="P32" s="745">
        <v>1127</v>
      </c>
    </row>
    <row r="33" spans="1:16">
      <c r="A33" s="740">
        <v>24</v>
      </c>
      <c r="B33" s="741" t="s">
        <v>896</v>
      </c>
      <c r="C33" s="752">
        <v>830</v>
      </c>
      <c r="D33" s="742">
        <v>825</v>
      </c>
      <c r="E33" s="743">
        <v>577.5</v>
      </c>
      <c r="F33" s="1468"/>
      <c r="G33" s="744">
        <v>499</v>
      </c>
      <c r="H33" s="744">
        <v>625</v>
      </c>
      <c r="I33" s="744">
        <v>599</v>
      </c>
      <c r="J33" s="744">
        <v>627</v>
      </c>
      <c r="K33" s="744">
        <v>601</v>
      </c>
      <c r="L33" s="620">
        <v>565</v>
      </c>
      <c r="M33" s="620">
        <v>686</v>
      </c>
      <c r="N33" s="745">
        <v>711</v>
      </c>
      <c r="O33" s="745">
        <v>700</v>
      </c>
      <c r="P33" s="745">
        <v>706</v>
      </c>
    </row>
    <row r="34" spans="1:16">
      <c r="A34" s="740">
        <v>25</v>
      </c>
      <c r="B34" s="741" t="s">
        <v>897</v>
      </c>
      <c r="C34" s="752">
        <v>326</v>
      </c>
      <c r="D34" s="742">
        <v>321</v>
      </c>
      <c r="E34" s="743">
        <v>224.7</v>
      </c>
      <c r="F34" s="1468"/>
      <c r="G34" s="744">
        <v>220</v>
      </c>
      <c r="H34" s="744">
        <v>240</v>
      </c>
      <c r="I34" s="744">
        <v>245</v>
      </c>
      <c r="J34" s="744">
        <v>275</v>
      </c>
      <c r="K34" s="744">
        <v>262</v>
      </c>
      <c r="L34" s="620">
        <v>292</v>
      </c>
      <c r="M34" s="620">
        <v>303</v>
      </c>
      <c r="N34" s="745">
        <v>296</v>
      </c>
      <c r="O34" s="745">
        <v>294</v>
      </c>
      <c r="P34" s="745">
        <v>294</v>
      </c>
    </row>
    <row r="35" spans="1:16">
      <c r="A35" s="740">
        <v>26</v>
      </c>
      <c r="B35" s="741" t="s">
        <v>898</v>
      </c>
      <c r="C35" s="752">
        <v>997</v>
      </c>
      <c r="D35" s="742">
        <v>980</v>
      </c>
      <c r="E35" s="743">
        <v>686</v>
      </c>
      <c r="F35" s="1468"/>
      <c r="G35" s="744">
        <v>510</v>
      </c>
      <c r="H35" s="744">
        <v>706</v>
      </c>
      <c r="I35" s="744">
        <v>769</v>
      </c>
      <c r="J35" s="744">
        <v>818</v>
      </c>
      <c r="K35" s="744">
        <v>818</v>
      </c>
      <c r="L35" s="620">
        <v>801</v>
      </c>
      <c r="M35" s="620">
        <v>834</v>
      </c>
      <c r="N35" s="745">
        <v>822</v>
      </c>
      <c r="O35" s="745">
        <v>850</v>
      </c>
      <c r="P35" s="745">
        <v>824</v>
      </c>
    </row>
    <row r="36" spans="1:16">
      <c r="A36" s="740">
        <v>27</v>
      </c>
      <c r="B36" s="741" t="s">
        <v>899</v>
      </c>
      <c r="C36" s="752">
        <v>1265</v>
      </c>
      <c r="D36" s="742">
        <v>1256</v>
      </c>
      <c r="E36" s="743">
        <v>882</v>
      </c>
      <c r="F36" s="1468"/>
      <c r="G36" s="744">
        <v>715</v>
      </c>
      <c r="H36" s="744">
        <v>905</v>
      </c>
      <c r="I36" s="744">
        <v>908</v>
      </c>
      <c r="J36" s="744">
        <v>964</v>
      </c>
      <c r="K36" s="744">
        <v>930</v>
      </c>
      <c r="L36" s="620">
        <v>714</v>
      </c>
      <c r="M36" s="620">
        <v>813</v>
      </c>
      <c r="N36" s="745">
        <v>865</v>
      </c>
      <c r="O36" s="745">
        <v>941</v>
      </c>
      <c r="P36" s="745">
        <v>950</v>
      </c>
    </row>
    <row r="37" spans="1:16">
      <c r="A37" s="740">
        <v>28</v>
      </c>
      <c r="B37" s="746" t="s">
        <v>900</v>
      </c>
      <c r="C37" s="752">
        <v>1366</v>
      </c>
      <c r="D37" s="747">
        <v>1332</v>
      </c>
      <c r="E37" s="743">
        <v>931.69999999999993</v>
      </c>
      <c r="F37" s="1468"/>
      <c r="G37" s="744">
        <v>423</v>
      </c>
      <c r="H37" s="744">
        <v>796</v>
      </c>
      <c r="I37" s="744">
        <v>932</v>
      </c>
      <c r="J37" s="744">
        <v>967</v>
      </c>
      <c r="K37" s="744">
        <v>918</v>
      </c>
      <c r="L37" s="620">
        <v>703</v>
      </c>
      <c r="M37" s="620">
        <v>805</v>
      </c>
      <c r="N37" s="745">
        <v>848</v>
      </c>
      <c r="O37" s="745">
        <v>1172</v>
      </c>
      <c r="P37" s="745">
        <v>1162</v>
      </c>
    </row>
    <row r="38" spans="1:16">
      <c r="A38" s="740">
        <v>29</v>
      </c>
      <c r="B38" s="746" t="s">
        <v>901</v>
      </c>
      <c r="C38" s="752">
        <v>910</v>
      </c>
      <c r="D38" s="747">
        <v>901</v>
      </c>
      <c r="E38" s="743">
        <v>631.4</v>
      </c>
      <c r="F38" s="1468"/>
      <c r="G38" s="744">
        <v>417</v>
      </c>
      <c r="H38" s="744">
        <v>630</v>
      </c>
      <c r="I38" s="744">
        <v>860</v>
      </c>
      <c r="J38" s="744">
        <v>870</v>
      </c>
      <c r="K38" s="744">
        <v>850</v>
      </c>
      <c r="L38" s="620">
        <v>819</v>
      </c>
      <c r="M38" s="620">
        <v>819</v>
      </c>
      <c r="N38" s="745">
        <v>815</v>
      </c>
      <c r="O38" s="745">
        <v>809</v>
      </c>
      <c r="P38" s="745">
        <v>807</v>
      </c>
    </row>
    <row r="39" spans="1:16">
      <c r="A39" s="740">
        <v>30</v>
      </c>
      <c r="B39" s="746" t="s">
        <v>902</v>
      </c>
      <c r="C39" s="752">
        <v>802</v>
      </c>
      <c r="D39" s="747">
        <v>804</v>
      </c>
      <c r="E39" s="743">
        <v>562.79999999999995</v>
      </c>
      <c r="F39" s="1468"/>
      <c r="G39" s="744">
        <v>190</v>
      </c>
      <c r="H39" s="744">
        <v>264</v>
      </c>
      <c r="I39" s="744">
        <v>349</v>
      </c>
      <c r="J39" s="744">
        <v>650</v>
      </c>
      <c r="K39" s="744">
        <v>663</v>
      </c>
      <c r="L39" s="620">
        <v>550</v>
      </c>
      <c r="M39" s="620">
        <v>594</v>
      </c>
      <c r="N39" s="745">
        <v>633</v>
      </c>
      <c r="O39" s="745">
        <v>657</v>
      </c>
      <c r="P39" s="745">
        <v>635</v>
      </c>
    </row>
    <row r="40" spans="1:16">
      <c r="A40" s="740">
        <v>31</v>
      </c>
      <c r="B40" s="741" t="s">
        <v>1059</v>
      </c>
      <c r="C40" s="752">
        <v>380</v>
      </c>
      <c r="D40" s="742">
        <v>378</v>
      </c>
      <c r="E40" s="743">
        <v>264.59999999999997</v>
      </c>
      <c r="F40" s="1468"/>
      <c r="G40" s="744">
        <v>120</v>
      </c>
      <c r="H40" s="744">
        <v>138</v>
      </c>
      <c r="I40" s="744">
        <v>151</v>
      </c>
      <c r="J40" s="744">
        <v>262</v>
      </c>
      <c r="K40" s="744">
        <v>263</v>
      </c>
      <c r="L40" s="620">
        <v>201</v>
      </c>
      <c r="M40" s="620">
        <v>240</v>
      </c>
      <c r="N40" s="745">
        <v>258</v>
      </c>
      <c r="O40" s="745">
        <v>255</v>
      </c>
      <c r="P40" s="745">
        <v>241</v>
      </c>
    </row>
    <row r="41" spans="1:16">
      <c r="A41" s="740">
        <v>32</v>
      </c>
      <c r="B41" s="741" t="s">
        <v>903</v>
      </c>
      <c r="C41" s="752">
        <v>1227</v>
      </c>
      <c r="D41" s="742">
        <v>1215</v>
      </c>
      <c r="E41" s="743">
        <v>849.8</v>
      </c>
      <c r="F41" s="1468"/>
      <c r="G41" s="744">
        <v>640</v>
      </c>
      <c r="H41" s="744">
        <v>906</v>
      </c>
      <c r="I41" s="744">
        <v>986</v>
      </c>
      <c r="J41" s="744">
        <v>1068</v>
      </c>
      <c r="K41" s="744">
        <v>1033</v>
      </c>
      <c r="L41" s="620">
        <v>935</v>
      </c>
      <c r="M41" s="620">
        <v>1017</v>
      </c>
      <c r="N41" s="745">
        <v>1051</v>
      </c>
      <c r="O41" s="745">
        <v>1082</v>
      </c>
      <c r="P41" s="745">
        <v>1092</v>
      </c>
    </row>
    <row r="42" spans="1:16">
      <c r="A42" s="740">
        <v>33</v>
      </c>
      <c r="B42" s="741" t="s">
        <v>904</v>
      </c>
      <c r="C42" s="752">
        <v>1031</v>
      </c>
      <c r="D42" s="742">
        <v>995</v>
      </c>
      <c r="E42" s="743">
        <v>697.19999999999993</v>
      </c>
      <c r="F42" s="1468"/>
      <c r="G42" s="744">
        <v>580</v>
      </c>
      <c r="H42" s="744">
        <v>764</v>
      </c>
      <c r="I42" s="744">
        <v>783</v>
      </c>
      <c r="J42" s="744">
        <v>809</v>
      </c>
      <c r="K42" s="744">
        <v>778</v>
      </c>
      <c r="L42" s="620">
        <v>859</v>
      </c>
      <c r="M42" s="620">
        <v>853</v>
      </c>
      <c r="N42" s="745">
        <v>856</v>
      </c>
      <c r="O42" s="745">
        <v>879</v>
      </c>
      <c r="P42" s="745">
        <v>890</v>
      </c>
    </row>
    <row r="43" spans="1:16" s="140" customFormat="1">
      <c r="A43" s="1469" t="s">
        <v>18</v>
      </c>
      <c r="B43" s="1470"/>
      <c r="C43" s="756">
        <f>SUM(C10:C42)</f>
        <v>33621</v>
      </c>
      <c r="D43" s="621">
        <f>SUM(D9:D42)</f>
        <v>33074</v>
      </c>
      <c r="E43" s="757">
        <v>23104.2</v>
      </c>
      <c r="F43" s="621"/>
      <c r="G43" s="621">
        <v>15972</v>
      </c>
      <c r="H43" s="621">
        <v>21780</v>
      </c>
      <c r="I43" s="621">
        <v>23824</v>
      </c>
      <c r="J43" s="621">
        <v>26242</v>
      </c>
      <c r="K43" s="621">
        <v>25585</v>
      </c>
      <c r="L43" s="621">
        <v>22757</v>
      </c>
      <c r="M43" s="621">
        <v>24437</v>
      </c>
      <c r="N43" s="758">
        <f>SUM(N9:N42)</f>
        <v>25203</v>
      </c>
      <c r="O43" s="758">
        <f>SUM(O9:O42)</f>
        <v>26280</v>
      </c>
      <c r="P43" s="758">
        <f>SUM(P9:P42)</f>
        <v>26181</v>
      </c>
    </row>
    <row r="45" spans="1:16" s="246" customFormat="1" ht="12.75">
      <c r="A45" s="293"/>
      <c r="B45" s="304"/>
      <c r="C45" s="293"/>
      <c r="D45" s="293"/>
      <c r="E45" s="293"/>
      <c r="F45" s="293"/>
      <c r="G45" s="293"/>
      <c r="H45" s="293"/>
      <c r="I45" s="293"/>
      <c r="J45" s="293"/>
      <c r="K45" s="293"/>
      <c r="L45" s="293"/>
    </row>
    <row r="46" spans="1:16" s="994" customFormat="1" ht="15.6" customHeight="1">
      <c r="A46" s="15" t="s">
        <v>12</v>
      </c>
      <c r="B46" s="15"/>
      <c r="C46" s="15"/>
      <c r="M46" s="1040" t="s">
        <v>1106</v>
      </c>
      <c r="N46" s="1040"/>
      <c r="O46" s="1040"/>
    </row>
    <row r="47" spans="1:16" s="994" customFormat="1" ht="15.6" customHeight="1">
      <c r="M47" s="1040" t="s">
        <v>481</v>
      </c>
      <c r="N47" s="1040"/>
      <c r="O47" s="1040"/>
    </row>
    <row r="48" spans="1:16" s="994" customFormat="1" ht="15.6" customHeight="1">
      <c r="M48" s="1040" t="s">
        <v>1107</v>
      </c>
      <c r="N48" s="1040"/>
      <c r="O48" s="1040"/>
    </row>
    <row r="49" spans="1:13" s="246" customFormat="1" ht="12.75">
      <c r="A49" s="293"/>
      <c r="B49" s="304"/>
      <c r="C49" s="293"/>
      <c r="D49" s="293"/>
      <c r="E49" s="293"/>
      <c r="F49" s="293"/>
      <c r="G49" s="293"/>
      <c r="H49" s="1464"/>
      <c r="I49" s="1464"/>
      <c r="J49" s="1464"/>
      <c r="K49" s="1464"/>
      <c r="L49" s="1464"/>
      <c r="M49" s="1464"/>
    </row>
  </sheetData>
  <mergeCells count="17">
    <mergeCell ref="A43:B43"/>
    <mergeCell ref="L1:M1"/>
    <mergeCell ref="H1:I1"/>
    <mergeCell ref="A3:M3"/>
    <mergeCell ref="A4:M4"/>
    <mergeCell ref="A7:A8"/>
    <mergeCell ref="B7:B8"/>
    <mergeCell ref="C7:C8"/>
    <mergeCell ref="D7:D8"/>
    <mergeCell ref="C2:J2"/>
    <mergeCell ref="E7:P7"/>
    <mergeCell ref="K6:P6"/>
    <mergeCell ref="M46:O46"/>
    <mergeCell ref="M47:O47"/>
    <mergeCell ref="M48:O48"/>
    <mergeCell ref="H49:M49"/>
    <mergeCell ref="F10:F42"/>
  </mergeCells>
  <printOptions horizontalCentered="1"/>
  <pageMargins left="0.70866141732283472" right="0.70866141732283472" top="0.63" bottom="0" header="0.79" footer="0.31496062992125984"/>
  <pageSetup paperSize="9" scale="77"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O51"/>
  <sheetViews>
    <sheetView zoomScale="80" zoomScaleNormal="80" zoomScaleSheetLayoutView="80" workbookViewId="0">
      <selection activeCell="B2" sqref="B2:L2"/>
    </sheetView>
  </sheetViews>
  <sheetFormatPr defaultRowHeight="12.75"/>
  <cols>
    <col min="2" max="2" width="1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5" ht="18">
      <c r="C1" s="1176" t="s">
        <v>0</v>
      </c>
      <c r="D1" s="1176"/>
      <c r="E1" s="1176"/>
      <c r="F1" s="1176"/>
      <c r="G1" s="1176"/>
      <c r="H1" s="1176"/>
      <c r="I1" s="1176"/>
      <c r="J1" s="202"/>
      <c r="K1" s="202"/>
      <c r="L1" s="1459" t="s">
        <v>529</v>
      </c>
      <c r="M1" s="1459"/>
      <c r="N1" s="202"/>
      <c r="O1" s="202"/>
    </row>
    <row r="2" spans="1:15" ht="21">
      <c r="B2" s="1177" t="s">
        <v>636</v>
      </c>
      <c r="C2" s="1177"/>
      <c r="D2" s="1177"/>
      <c r="E2" s="1177"/>
      <c r="F2" s="1177"/>
      <c r="G2" s="1177"/>
      <c r="H2" s="1177"/>
      <c r="I2" s="1177"/>
      <c r="J2" s="1177"/>
      <c r="K2" s="1177"/>
      <c r="L2" s="1177"/>
      <c r="M2" s="203"/>
      <c r="N2" s="203"/>
      <c r="O2" s="203"/>
    </row>
    <row r="3" spans="1:15" ht="21">
      <c r="C3" s="175"/>
      <c r="D3" s="175"/>
      <c r="E3" s="175"/>
      <c r="F3" s="175"/>
      <c r="G3" s="175"/>
      <c r="H3" s="175"/>
      <c r="I3" s="175"/>
      <c r="J3" s="175"/>
      <c r="K3" s="175"/>
      <c r="L3" s="175"/>
      <c r="M3" s="175"/>
      <c r="N3" s="203"/>
      <c r="O3" s="203"/>
    </row>
    <row r="4" spans="1:15" ht="20.25" customHeight="1">
      <c r="A4" s="1491" t="s">
        <v>528</v>
      </c>
      <c r="B4" s="1491"/>
      <c r="C4" s="1491"/>
      <c r="D4" s="1491"/>
      <c r="E4" s="1491"/>
      <c r="F4" s="1491"/>
      <c r="G4" s="1491"/>
      <c r="H4" s="1491"/>
      <c r="I4" s="1491"/>
      <c r="J4" s="1491"/>
      <c r="K4" s="1491"/>
      <c r="L4" s="1491"/>
      <c r="M4" s="1491"/>
    </row>
    <row r="5" spans="1:15" ht="20.25" customHeight="1">
      <c r="A5" s="1492" t="s">
        <v>951</v>
      </c>
      <c r="B5" s="1492"/>
      <c r="C5" s="1492"/>
      <c r="D5" s="1492"/>
      <c r="E5" s="1492"/>
      <c r="F5" s="1492"/>
      <c r="G5" s="1492"/>
      <c r="H5" s="1179" t="s">
        <v>947</v>
      </c>
      <c r="I5" s="1179"/>
      <c r="J5" s="1179"/>
      <c r="K5" s="1179"/>
      <c r="L5" s="1179"/>
      <c r="M5" s="1179"/>
    </row>
    <row r="6" spans="1:15" ht="15" customHeight="1">
      <c r="A6" s="1478" t="s">
        <v>74</v>
      </c>
      <c r="B6" s="1478" t="s">
        <v>297</v>
      </c>
      <c r="C6" s="1483" t="s">
        <v>420</v>
      </c>
      <c r="D6" s="1484"/>
      <c r="E6" s="1484"/>
      <c r="F6" s="1484"/>
      <c r="G6" s="1485"/>
      <c r="H6" s="1490" t="s">
        <v>417</v>
      </c>
      <c r="I6" s="1490"/>
      <c r="J6" s="1490"/>
      <c r="K6" s="1490"/>
      <c r="L6" s="1490"/>
      <c r="M6" s="1478" t="s">
        <v>298</v>
      </c>
    </row>
    <row r="7" spans="1:15" ht="12.75" customHeight="1">
      <c r="A7" s="1479"/>
      <c r="B7" s="1479"/>
      <c r="C7" s="1486"/>
      <c r="D7" s="1487"/>
      <c r="E7" s="1487"/>
      <c r="F7" s="1487"/>
      <c r="G7" s="1488"/>
      <c r="H7" s="1490"/>
      <c r="I7" s="1490"/>
      <c r="J7" s="1490"/>
      <c r="K7" s="1490"/>
      <c r="L7" s="1490"/>
      <c r="M7" s="1479"/>
    </row>
    <row r="8" spans="1:15" ht="5.25" customHeight="1">
      <c r="A8" s="1479"/>
      <c r="B8" s="1479"/>
      <c r="C8" s="1486"/>
      <c r="D8" s="1487"/>
      <c r="E8" s="1487"/>
      <c r="F8" s="1487"/>
      <c r="G8" s="1488"/>
      <c r="H8" s="1490"/>
      <c r="I8" s="1490"/>
      <c r="J8" s="1490"/>
      <c r="K8" s="1490"/>
      <c r="L8" s="1490"/>
      <c r="M8" s="1479"/>
    </row>
    <row r="9" spans="1:15" ht="68.25" customHeight="1">
      <c r="A9" s="1480"/>
      <c r="B9" s="1480"/>
      <c r="C9" s="207" t="s">
        <v>299</v>
      </c>
      <c r="D9" s="207" t="s">
        <v>300</v>
      </c>
      <c r="E9" s="207" t="s">
        <v>301</v>
      </c>
      <c r="F9" s="207" t="s">
        <v>302</v>
      </c>
      <c r="G9" s="268" t="s">
        <v>303</v>
      </c>
      <c r="H9" s="269" t="s">
        <v>416</v>
      </c>
      <c r="I9" s="269" t="s">
        <v>421</v>
      </c>
      <c r="J9" s="269" t="s">
        <v>418</v>
      </c>
      <c r="K9" s="269" t="s">
        <v>419</v>
      </c>
      <c r="L9" s="269" t="s">
        <v>48</v>
      </c>
      <c r="M9" s="1480"/>
    </row>
    <row r="10" spans="1:15" ht="15">
      <c r="A10" s="208">
        <v>1</v>
      </c>
      <c r="B10" s="208">
        <v>2</v>
      </c>
      <c r="C10" s="208">
        <v>3</v>
      </c>
      <c r="D10" s="208">
        <v>4</v>
      </c>
      <c r="E10" s="208">
        <v>5</v>
      </c>
      <c r="F10" s="208">
        <v>6</v>
      </c>
      <c r="G10" s="208">
        <v>7</v>
      </c>
      <c r="H10" s="208">
        <v>8</v>
      </c>
      <c r="I10" s="208">
        <v>9</v>
      </c>
      <c r="J10" s="208">
        <v>10</v>
      </c>
      <c r="K10" s="208">
        <v>11</v>
      </c>
      <c r="L10" s="208">
        <v>12</v>
      </c>
      <c r="M10" s="208">
        <v>13</v>
      </c>
    </row>
    <row r="11" spans="1:15">
      <c r="A11" s="8">
        <v>1</v>
      </c>
      <c r="B11" s="9" t="s">
        <v>825</v>
      </c>
      <c r="C11" s="5"/>
      <c r="D11" s="5"/>
      <c r="E11" s="5"/>
      <c r="F11" s="7"/>
      <c r="G11" s="7"/>
      <c r="H11" s="5"/>
      <c r="I11" s="5"/>
      <c r="J11" s="5"/>
      <c r="K11" s="5"/>
      <c r="L11" s="5"/>
      <c r="M11" s="5"/>
    </row>
    <row r="12" spans="1:15">
      <c r="A12" s="8">
        <v>2</v>
      </c>
      <c r="B12" s="9" t="s">
        <v>826</v>
      </c>
      <c r="C12" s="5"/>
      <c r="D12" s="5"/>
      <c r="E12" s="5"/>
      <c r="F12" s="7"/>
      <c r="G12" s="7"/>
      <c r="H12" s="5"/>
      <c r="I12" s="5"/>
      <c r="J12" s="5"/>
      <c r="K12" s="5"/>
      <c r="L12" s="5"/>
      <c r="M12" s="5"/>
    </row>
    <row r="13" spans="1:15">
      <c r="A13" s="8">
        <v>3</v>
      </c>
      <c r="B13" s="9" t="s">
        <v>827</v>
      </c>
      <c r="C13" s="5"/>
      <c r="D13" s="5"/>
      <c r="E13" s="5"/>
      <c r="F13" s="7"/>
      <c r="G13" s="7"/>
      <c r="H13" s="5"/>
      <c r="I13" s="5"/>
      <c r="J13" s="5"/>
      <c r="K13" s="5"/>
      <c r="L13" s="5"/>
      <c r="M13" s="5"/>
    </row>
    <row r="14" spans="1:15">
      <c r="A14" s="8">
        <v>4</v>
      </c>
      <c r="B14" s="9" t="s">
        <v>828</v>
      </c>
      <c r="C14" s="5"/>
      <c r="D14" s="5"/>
      <c r="E14" s="5"/>
      <c r="F14" s="7"/>
      <c r="G14" s="7"/>
      <c r="H14" s="5"/>
      <c r="I14" s="5"/>
      <c r="J14" s="5"/>
      <c r="K14" s="5"/>
      <c r="L14" s="5"/>
      <c r="M14" s="5"/>
    </row>
    <row r="15" spans="1:15">
      <c r="A15" s="8">
        <v>5</v>
      </c>
      <c r="B15" s="9" t="s">
        <v>829</v>
      </c>
      <c r="C15" s="5"/>
      <c r="D15" s="5"/>
      <c r="E15" s="5"/>
      <c r="F15" s="7"/>
      <c r="G15" s="7"/>
      <c r="H15" s="5"/>
      <c r="I15" s="5"/>
      <c r="J15" s="5"/>
      <c r="K15" s="5"/>
      <c r="L15" s="5"/>
      <c r="M15" s="5"/>
    </row>
    <row r="16" spans="1:15">
      <c r="A16" s="8">
        <v>6</v>
      </c>
      <c r="B16" s="9" t="s">
        <v>830</v>
      </c>
      <c r="C16" s="5"/>
      <c r="D16" s="5"/>
      <c r="E16" s="5"/>
      <c r="F16" s="7"/>
      <c r="G16" s="7"/>
      <c r="H16" s="5"/>
      <c r="I16" s="5"/>
      <c r="J16" s="5"/>
      <c r="K16" s="5"/>
      <c r="L16" s="5"/>
      <c r="M16" s="5"/>
    </row>
    <row r="17" spans="1:15" ht="14.25">
      <c r="A17" s="8">
        <v>7</v>
      </c>
      <c r="B17" s="9" t="s">
        <v>831</v>
      </c>
      <c r="C17" s="5"/>
      <c r="D17" s="5"/>
      <c r="E17" s="5"/>
      <c r="F17" s="7"/>
      <c r="G17" s="7"/>
      <c r="H17" s="5"/>
      <c r="I17" s="5"/>
      <c r="J17" s="5"/>
      <c r="K17" s="5"/>
      <c r="L17" s="5"/>
      <c r="M17" s="5"/>
      <c r="O17" s="448"/>
    </row>
    <row r="18" spans="1:15" ht="14.25">
      <c r="A18" s="8">
        <v>8</v>
      </c>
      <c r="B18" s="9" t="s">
        <v>832</v>
      </c>
      <c r="C18" s="5"/>
      <c r="D18" s="5"/>
      <c r="E18" s="5"/>
      <c r="F18" s="7"/>
      <c r="G18" s="7"/>
      <c r="H18" s="5"/>
      <c r="I18" s="5"/>
      <c r="J18" s="5"/>
      <c r="K18" s="5"/>
      <c r="L18" s="5"/>
      <c r="M18" s="5"/>
      <c r="O18" s="448"/>
    </row>
    <row r="19" spans="1:15" ht="14.25">
      <c r="A19" s="8">
        <v>9</v>
      </c>
      <c r="B19" s="9" t="s">
        <v>833</v>
      </c>
      <c r="C19" s="5"/>
      <c r="D19" s="5"/>
      <c r="E19" s="5"/>
      <c r="F19" s="7"/>
      <c r="G19" s="7"/>
      <c r="H19" s="5"/>
      <c r="I19" s="5"/>
      <c r="J19" s="5"/>
      <c r="K19" s="5"/>
      <c r="L19" s="5"/>
      <c r="M19" s="5"/>
      <c r="O19" s="448"/>
    </row>
    <row r="20" spans="1:15" ht="14.25">
      <c r="A20" s="8">
        <v>10</v>
      </c>
      <c r="B20" s="9" t="s">
        <v>834</v>
      </c>
      <c r="C20" s="5"/>
      <c r="D20" s="5"/>
      <c r="E20" s="5"/>
      <c r="F20" s="7"/>
      <c r="G20" s="7"/>
      <c r="H20" s="5"/>
      <c r="I20" s="5"/>
      <c r="J20" s="5"/>
      <c r="K20" s="5"/>
      <c r="L20" s="5"/>
      <c r="M20" s="5"/>
      <c r="O20" s="448"/>
    </row>
    <row r="21" spans="1:15" ht="14.25">
      <c r="A21" s="8">
        <v>11</v>
      </c>
      <c r="B21" s="9" t="s">
        <v>835</v>
      </c>
      <c r="C21" s="5"/>
      <c r="D21" s="5"/>
      <c r="E21" s="5"/>
      <c r="F21" s="7"/>
      <c r="G21" s="7"/>
      <c r="H21" s="5"/>
      <c r="I21" s="5"/>
      <c r="J21" s="5"/>
      <c r="K21" s="5"/>
      <c r="L21" s="5"/>
      <c r="M21" s="5"/>
      <c r="O21" s="448"/>
    </row>
    <row r="22" spans="1:15">
      <c r="A22" s="8">
        <v>12</v>
      </c>
      <c r="B22" s="9" t="s">
        <v>836</v>
      </c>
      <c r="C22" s="1489" t="s">
        <v>932</v>
      </c>
      <c r="D22" s="1489"/>
      <c r="E22" s="1489"/>
      <c r="F22" s="1489"/>
      <c r="G22" s="1489"/>
      <c r="H22" s="1489"/>
      <c r="I22" s="1489"/>
      <c r="J22" s="1489"/>
      <c r="K22" s="1489"/>
      <c r="L22" s="1489"/>
      <c r="M22" s="1489"/>
    </row>
    <row r="23" spans="1:15">
      <c r="A23" s="8">
        <v>13</v>
      </c>
      <c r="B23" s="9" t="s">
        <v>837</v>
      </c>
      <c r="C23" s="1489"/>
      <c r="D23" s="1489"/>
      <c r="E23" s="1489"/>
      <c r="F23" s="1489"/>
      <c r="G23" s="1489"/>
      <c r="H23" s="1489"/>
      <c r="I23" s="1489"/>
      <c r="J23" s="1489"/>
      <c r="K23" s="1489"/>
      <c r="L23" s="1489"/>
      <c r="M23" s="1489"/>
    </row>
    <row r="24" spans="1:15">
      <c r="A24" s="8">
        <v>14</v>
      </c>
      <c r="B24" s="9" t="s">
        <v>838</v>
      </c>
      <c r="C24" s="1489"/>
      <c r="D24" s="1489"/>
      <c r="E24" s="1489"/>
      <c r="F24" s="1489"/>
      <c r="G24" s="1489"/>
      <c r="H24" s="1489"/>
      <c r="I24" s="1489"/>
      <c r="J24" s="1489"/>
      <c r="K24" s="1489"/>
      <c r="L24" s="1489"/>
      <c r="M24" s="1489"/>
    </row>
    <row r="25" spans="1:15">
      <c r="A25" s="8">
        <v>15</v>
      </c>
      <c r="B25" s="9" t="s">
        <v>839</v>
      </c>
      <c r="C25" s="1489"/>
      <c r="D25" s="1489"/>
      <c r="E25" s="1489"/>
      <c r="F25" s="1489"/>
      <c r="G25" s="1489"/>
      <c r="H25" s="1489"/>
      <c r="I25" s="1489"/>
      <c r="J25" s="1489"/>
      <c r="K25" s="1489"/>
      <c r="L25" s="1489"/>
      <c r="M25" s="1489"/>
    </row>
    <row r="26" spans="1:15">
      <c r="A26" s="8">
        <v>16</v>
      </c>
      <c r="B26" s="9" t="s">
        <v>840</v>
      </c>
      <c r="C26" s="1489"/>
      <c r="D26" s="1489"/>
      <c r="E26" s="1489"/>
      <c r="F26" s="1489"/>
      <c r="G26" s="1489"/>
      <c r="H26" s="1489"/>
      <c r="I26" s="1489"/>
      <c r="J26" s="1489"/>
      <c r="K26" s="1489"/>
      <c r="L26" s="1489"/>
      <c r="M26" s="1489"/>
    </row>
    <row r="27" spans="1:15">
      <c r="A27" s="8">
        <v>17</v>
      </c>
      <c r="B27" s="9" t="s">
        <v>841</v>
      </c>
      <c r="C27" s="1489"/>
      <c r="D27" s="1489"/>
      <c r="E27" s="1489"/>
      <c r="F27" s="1489"/>
      <c r="G27" s="1489"/>
      <c r="H27" s="1489"/>
      <c r="I27" s="1489"/>
      <c r="J27" s="1489"/>
      <c r="K27" s="1489"/>
      <c r="L27" s="1489"/>
      <c r="M27" s="1489"/>
    </row>
    <row r="28" spans="1:15" ht="16.5" customHeight="1">
      <c r="A28" s="8">
        <v>18</v>
      </c>
      <c r="B28" s="9" t="s">
        <v>842</v>
      </c>
      <c r="C28" s="1489"/>
      <c r="D28" s="1489"/>
      <c r="E28" s="1489"/>
      <c r="F28" s="1489"/>
      <c r="G28" s="1489"/>
      <c r="H28" s="1489"/>
      <c r="I28" s="1489"/>
      <c r="J28" s="1489"/>
      <c r="K28" s="1489"/>
      <c r="L28" s="1489"/>
      <c r="M28" s="1489"/>
    </row>
    <row r="29" spans="1:15">
      <c r="A29" s="8">
        <v>19</v>
      </c>
      <c r="B29" s="9" t="s">
        <v>843</v>
      </c>
      <c r="C29" s="9"/>
      <c r="D29" s="9"/>
      <c r="E29" s="9"/>
      <c r="F29" s="63"/>
      <c r="G29" s="10"/>
      <c r="H29" s="9"/>
      <c r="I29" s="9"/>
      <c r="J29" s="9"/>
      <c r="K29" s="9"/>
      <c r="L29" s="9"/>
      <c r="M29" s="9"/>
    </row>
    <row r="30" spans="1:15">
      <c r="A30" s="8">
        <v>20</v>
      </c>
      <c r="B30" s="9" t="s">
        <v>844</v>
      </c>
      <c r="C30" s="9"/>
      <c r="D30" s="9"/>
      <c r="E30" s="9"/>
      <c r="F30" s="63"/>
      <c r="G30" s="10"/>
      <c r="H30" s="9"/>
      <c r="I30" s="9"/>
      <c r="J30" s="9"/>
      <c r="K30" s="9"/>
      <c r="L30" s="9"/>
      <c r="M30" s="9"/>
    </row>
    <row r="31" spans="1:15" ht="15" customHeight="1">
      <c r="A31" s="8">
        <v>21</v>
      </c>
      <c r="B31" s="9" t="s">
        <v>845</v>
      </c>
      <c r="C31" s="9"/>
      <c r="D31" s="9"/>
      <c r="E31" s="9"/>
      <c r="F31" s="63"/>
      <c r="G31" s="10"/>
      <c r="H31" s="9"/>
      <c r="I31" s="9"/>
      <c r="J31" s="9"/>
      <c r="K31" s="9"/>
      <c r="L31" s="9"/>
      <c r="M31" s="9"/>
    </row>
    <row r="32" spans="1:15" ht="15" customHeight="1">
      <c r="A32" s="8">
        <v>22</v>
      </c>
      <c r="B32" s="9" t="s">
        <v>846</v>
      </c>
      <c r="C32" s="9"/>
      <c r="D32" s="9"/>
      <c r="E32" s="9"/>
      <c r="F32" s="63"/>
      <c r="G32" s="10"/>
      <c r="H32" s="9"/>
      <c r="I32" s="9"/>
      <c r="J32" s="9"/>
      <c r="K32" s="9"/>
      <c r="L32" s="9"/>
      <c r="M32" s="9"/>
    </row>
    <row r="33" spans="1:13">
      <c r="A33" s="8">
        <v>23</v>
      </c>
      <c r="B33" s="9" t="s">
        <v>847</v>
      </c>
      <c r="C33" s="9"/>
      <c r="D33" s="9"/>
      <c r="E33" s="9"/>
      <c r="F33" s="63"/>
      <c r="G33" s="10"/>
      <c r="H33" s="9"/>
      <c r="I33" s="9"/>
      <c r="J33" s="9"/>
      <c r="K33" s="9"/>
      <c r="L33" s="9"/>
      <c r="M33" s="9"/>
    </row>
    <row r="34" spans="1:13">
      <c r="A34" s="8">
        <v>24</v>
      </c>
      <c r="B34" s="9" t="s">
        <v>848</v>
      </c>
      <c r="C34" s="9"/>
      <c r="D34" s="9"/>
      <c r="E34" s="9"/>
      <c r="F34" s="63"/>
      <c r="G34" s="10"/>
      <c r="H34" s="9"/>
      <c r="I34" s="9"/>
      <c r="J34" s="9"/>
      <c r="K34" s="9"/>
      <c r="L34" s="9"/>
      <c r="M34" s="9"/>
    </row>
    <row r="35" spans="1:13">
      <c r="A35" s="8">
        <v>25</v>
      </c>
      <c r="B35" s="9" t="s">
        <v>849</v>
      </c>
      <c r="C35" s="9"/>
      <c r="D35" s="9"/>
      <c r="E35" s="9"/>
      <c r="F35" s="63"/>
      <c r="G35" s="10"/>
      <c r="H35" s="9"/>
      <c r="I35" s="9"/>
      <c r="J35" s="9"/>
      <c r="K35" s="9"/>
      <c r="L35" s="9"/>
      <c r="M35" s="9"/>
    </row>
    <row r="36" spans="1:13">
      <c r="A36" s="8">
        <v>26</v>
      </c>
      <c r="B36" s="9" t="s">
        <v>850</v>
      </c>
      <c r="C36" s="9"/>
      <c r="D36" s="9"/>
      <c r="E36" s="9"/>
      <c r="F36" s="63"/>
      <c r="G36" s="10"/>
      <c r="H36" s="9"/>
      <c r="I36" s="9"/>
      <c r="J36" s="9"/>
      <c r="K36" s="9"/>
      <c r="L36" s="9"/>
      <c r="M36" s="9"/>
    </row>
    <row r="37" spans="1:13">
      <c r="A37" s="8">
        <v>27</v>
      </c>
      <c r="B37" s="9" t="s">
        <v>851</v>
      </c>
      <c r="C37" s="9"/>
      <c r="D37" s="9"/>
      <c r="E37" s="9"/>
      <c r="F37" s="63"/>
      <c r="G37" s="10"/>
      <c r="H37" s="9"/>
      <c r="I37" s="9"/>
      <c r="J37" s="9"/>
      <c r="K37" s="9"/>
      <c r="L37" s="9"/>
      <c r="M37" s="9"/>
    </row>
    <row r="38" spans="1:13">
      <c r="A38" s="8">
        <v>28</v>
      </c>
      <c r="B38" s="9" t="s">
        <v>852</v>
      </c>
      <c r="C38" s="9"/>
      <c r="D38" s="9"/>
      <c r="E38" s="9"/>
      <c r="F38" s="63"/>
      <c r="G38" s="10"/>
      <c r="H38" s="9"/>
      <c r="I38" s="9"/>
      <c r="J38" s="9"/>
      <c r="K38" s="9"/>
      <c r="L38" s="9"/>
      <c r="M38" s="9"/>
    </row>
    <row r="39" spans="1:13">
      <c r="A39" s="8">
        <v>29</v>
      </c>
      <c r="B39" s="9" t="s">
        <v>853</v>
      </c>
      <c r="C39" s="9"/>
      <c r="D39" s="9"/>
      <c r="E39" s="9"/>
      <c r="F39" s="63"/>
      <c r="G39" s="10"/>
      <c r="H39" s="9"/>
      <c r="I39" s="9"/>
      <c r="J39" s="9"/>
      <c r="K39" s="9"/>
      <c r="L39" s="9"/>
      <c r="M39" s="9"/>
    </row>
    <row r="40" spans="1:13">
      <c r="A40" s="8">
        <v>30</v>
      </c>
      <c r="B40" s="9" t="s">
        <v>854</v>
      </c>
      <c r="C40" s="9"/>
      <c r="D40" s="9"/>
      <c r="E40" s="9"/>
      <c r="F40" s="63"/>
      <c r="G40" s="10"/>
      <c r="H40" s="9"/>
      <c r="I40" s="9"/>
      <c r="J40" s="9"/>
      <c r="K40" s="9"/>
      <c r="L40" s="9"/>
      <c r="M40" s="9"/>
    </row>
    <row r="41" spans="1:13">
      <c r="A41" s="8">
        <v>31</v>
      </c>
      <c r="B41" s="9" t="s">
        <v>855</v>
      </c>
      <c r="C41" s="9"/>
      <c r="D41" s="9"/>
      <c r="E41" s="9"/>
      <c r="F41" s="63"/>
      <c r="G41" s="10"/>
      <c r="H41" s="9"/>
      <c r="I41" s="9"/>
      <c r="J41" s="9"/>
      <c r="K41" s="9"/>
      <c r="L41" s="9"/>
      <c r="M41" s="9"/>
    </row>
    <row r="42" spans="1:13">
      <c r="A42" s="8">
        <v>32</v>
      </c>
      <c r="B42" s="9" t="s">
        <v>856</v>
      </c>
      <c r="C42" s="9"/>
      <c r="D42" s="9"/>
      <c r="E42" s="9"/>
      <c r="F42" s="63"/>
      <c r="G42" s="10"/>
      <c r="H42" s="9"/>
      <c r="I42" s="9"/>
      <c r="J42" s="9"/>
      <c r="K42" s="9"/>
      <c r="L42" s="9"/>
      <c r="M42" s="9"/>
    </row>
    <row r="43" spans="1:13">
      <c r="A43" s="8">
        <v>33</v>
      </c>
      <c r="B43" s="9" t="s">
        <v>857</v>
      </c>
      <c r="C43" s="9"/>
      <c r="D43" s="9"/>
      <c r="E43" s="9"/>
      <c r="F43" s="63"/>
      <c r="G43" s="10"/>
      <c r="H43" s="9"/>
      <c r="I43" s="9"/>
      <c r="J43" s="9"/>
      <c r="K43" s="9"/>
      <c r="L43" s="9"/>
      <c r="M43" s="9"/>
    </row>
    <row r="44" spans="1:13">
      <c r="A44" s="1481" t="s">
        <v>18</v>
      </c>
      <c r="B44" s="1039"/>
      <c r="C44" s="9"/>
      <c r="D44" s="9"/>
      <c r="E44" s="9"/>
      <c r="F44" s="9"/>
      <c r="G44" s="9"/>
      <c r="H44" s="9"/>
      <c r="I44" s="9"/>
      <c r="J44" s="9"/>
      <c r="K44" s="9"/>
      <c r="L44" s="9"/>
      <c r="M44" s="9"/>
    </row>
    <row r="45" spans="1:13">
      <c r="B45" s="210"/>
      <c r="C45" s="1482"/>
      <c r="D45" s="1482"/>
      <c r="E45" s="1482"/>
      <c r="F45" s="1482"/>
    </row>
    <row r="47" spans="1:13" s="246" customFormat="1">
      <c r="A47" s="293"/>
      <c r="B47" s="304"/>
      <c r="C47" s="293"/>
      <c r="D47" s="293"/>
      <c r="E47" s="293"/>
      <c r="F47" s="293"/>
      <c r="G47" s="293"/>
      <c r="H47" s="293"/>
      <c r="I47" s="293"/>
      <c r="J47" s="293"/>
      <c r="K47" s="293"/>
      <c r="L47" s="293"/>
    </row>
    <row r="48" spans="1:13" s="994" customFormat="1" ht="15.6" customHeight="1">
      <c r="A48" s="15" t="s">
        <v>12</v>
      </c>
      <c r="B48" s="15"/>
      <c r="C48" s="15"/>
      <c r="K48" s="1040" t="s">
        <v>1106</v>
      </c>
      <c r="L48" s="1040"/>
      <c r="M48" s="1040"/>
    </row>
    <row r="49" spans="1:13" s="994" customFormat="1" ht="15.6" customHeight="1">
      <c r="K49" s="1040" t="s">
        <v>481</v>
      </c>
      <c r="L49" s="1040"/>
      <c r="M49" s="1040"/>
    </row>
    <row r="50" spans="1:13" s="994" customFormat="1" ht="15.6" customHeight="1">
      <c r="K50" s="1040" t="s">
        <v>1107</v>
      </c>
      <c r="L50" s="1040"/>
      <c r="M50" s="1040"/>
    </row>
    <row r="51" spans="1:13" s="246" customFormat="1">
      <c r="A51" s="293"/>
      <c r="B51" s="304"/>
      <c r="C51" s="293"/>
      <c r="D51" s="293"/>
      <c r="E51" s="293"/>
      <c r="F51" s="293"/>
      <c r="G51" s="293"/>
      <c r="H51" s="1464"/>
      <c r="I51" s="1464"/>
      <c r="J51" s="1464"/>
      <c r="K51" s="1464"/>
      <c r="L51" s="1464"/>
      <c r="M51" s="1464"/>
    </row>
  </sheetData>
  <mergeCells count="18">
    <mergeCell ref="B2:L2"/>
    <mergeCell ref="L1:M1"/>
    <mergeCell ref="C1:I1"/>
    <mergeCell ref="H6:L8"/>
    <mergeCell ref="H5:M5"/>
    <mergeCell ref="A4:M4"/>
    <mergeCell ref="A5:G5"/>
    <mergeCell ref="M6:M9"/>
    <mergeCell ref="H51:M51"/>
    <mergeCell ref="K50:M50"/>
    <mergeCell ref="K49:M49"/>
    <mergeCell ref="K48:M48"/>
    <mergeCell ref="A6:A9"/>
    <mergeCell ref="B6:B9"/>
    <mergeCell ref="A44:B44"/>
    <mergeCell ref="C45:F45"/>
    <mergeCell ref="C6:G8"/>
    <mergeCell ref="C22:M28"/>
  </mergeCells>
  <printOptions horizontalCentered="1"/>
  <pageMargins left="0.70866141732283472" right="0.70866141732283472" top="0.63" bottom="0" header="0.79" footer="0.31496062992125984"/>
  <pageSetup paperSize="9" scale="78"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sheetPr>
    <pageSetUpPr fitToPage="1"/>
  </sheetPr>
  <dimension ref="A1:M53"/>
  <sheetViews>
    <sheetView topLeftCell="B7" zoomScaleSheetLayoutView="63" workbookViewId="0">
      <selection activeCell="E20" sqref="E20:G20"/>
    </sheetView>
  </sheetViews>
  <sheetFormatPr defaultColWidth="9.140625" defaultRowHeight="14.25"/>
  <cols>
    <col min="1" max="1" width="36" style="43" customWidth="1"/>
    <col min="2" max="2" width="25.7109375" style="43" customWidth="1"/>
    <col min="3" max="3" width="21.85546875" style="43" customWidth="1"/>
    <col min="4" max="4" width="22.5703125" style="43" customWidth="1"/>
    <col min="5" max="5" width="19.42578125" style="43" customWidth="1"/>
    <col min="6" max="6" width="20.5703125" style="43" customWidth="1"/>
    <col min="7" max="16384" width="9.140625" style="43"/>
  </cols>
  <sheetData>
    <row r="1" spans="1:12" s="48" customFormat="1" ht="16.5">
      <c r="A1" s="1502" t="s">
        <v>0</v>
      </c>
      <c r="B1" s="1502"/>
      <c r="C1" s="1502"/>
      <c r="D1" s="1502"/>
      <c r="E1" s="1502"/>
      <c r="F1" s="174" t="s">
        <v>531</v>
      </c>
      <c r="G1" s="358"/>
      <c r="H1" s="358"/>
      <c r="I1" s="358"/>
      <c r="J1" s="358"/>
      <c r="K1" s="358"/>
      <c r="L1" s="358"/>
    </row>
    <row r="2" spans="1:12" s="48" customFormat="1" ht="16.5">
      <c r="A2" s="1502" t="s">
        <v>636</v>
      </c>
      <c r="B2" s="1502"/>
      <c r="C2" s="1502"/>
      <c r="D2" s="1502"/>
      <c r="E2" s="1502"/>
      <c r="F2" s="1502"/>
      <c r="G2" s="358"/>
      <c r="H2" s="358"/>
      <c r="I2" s="358"/>
      <c r="J2" s="358"/>
      <c r="K2" s="358"/>
      <c r="L2" s="358"/>
    </row>
    <row r="3" spans="1:12">
      <c r="A3" s="359"/>
      <c r="B3" s="359"/>
      <c r="C3" s="359"/>
      <c r="D3" s="359"/>
      <c r="E3" s="359"/>
      <c r="F3" s="359"/>
    </row>
    <row r="4" spans="1:12" s="48" customFormat="1" ht="15">
      <c r="A4" s="1503" t="s">
        <v>530</v>
      </c>
      <c r="B4" s="1503"/>
      <c r="C4" s="1503"/>
      <c r="D4" s="1503"/>
      <c r="E4" s="1503"/>
      <c r="F4" s="1503"/>
      <c r="G4" s="1503"/>
    </row>
    <row r="5" spans="1:12" ht="16.5">
      <c r="A5" s="360" t="s">
        <v>905</v>
      </c>
      <c r="B5" s="361"/>
      <c r="C5" s="361"/>
      <c r="D5" s="361"/>
      <c r="E5" s="361"/>
      <c r="F5" s="361"/>
      <c r="G5" s="361"/>
    </row>
    <row r="6" spans="1:12" ht="30">
      <c r="A6" s="362"/>
      <c r="B6" s="363" t="s">
        <v>327</v>
      </c>
      <c r="C6" s="363" t="s">
        <v>328</v>
      </c>
      <c r="D6" s="363" t="s">
        <v>329</v>
      </c>
      <c r="E6" s="364"/>
      <c r="F6" s="364"/>
    </row>
    <row r="7" spans="1:12" ht="15">
      <c r="A7" s="365" t="s">
        <v>330</v>
      </c>
      <c r="B7" s="366" t="s">
        <v>910</v>
      </c>
      <c r="C7" s="366" t="s">
        <v>910</v>
      </c>
      <c r="D7" s="366" t="s">
        <v>910</v>
      </c>
      <c r="E7" s="364"/>
      <c r="F7" s="364"/>
    </row>
    <row r="8" spans="1:12" ht="15">
      <c r="A8" s="365" t="s">
        <v>331</v>
      </c>
      <c r="B8" s="366" t="s">
        <v>910</v>
      </c>
      <c r="C8" s="366" t="s">
        <v>910</v>
      </c>
      <c r="D8" s="366" t="s">
        <v>910</v>
      </c>
      <c r="E8" s="364"/>
      <c r="F8" s="364"/>
    </row>
    <row r="9" spans="1:12" ht="15">
      <c r="A9" s="365" t="s">
        <v>332</v>
      </c>
      <c r="B9" s="366"/>
      <c r="C9" s="366"/>
      <c r="D9" s="366"/>
      <c r="E9" s="364"/>
      <c r="F9" s="364"/>
    </row>
    <row r="10" spans="1:12" ht="15">
      <c r="A10" s="367" t="s">
        <v>911</v>
      </c>
      <c r="B10" s="366" t="s">
        <v>912</v>
      </c>
      <c r="C10" s="366" t="s">
        <v>912</v>
      </c>
      <c r="D10" s="366" t="s">
        <v>912</v>
      </c>
      <c r="E10" s="364"/>
      <c r="F10" s="364"/>
    </row>
    <row r="11" spans="1:12" ht="15">
      <c r="A11" s="367" t="s">
        <v>913</v>
      </c>
      <c r="B11" s="366" t="s">
        <v>910</v>
      </c>
      <c r="C11" s="366" t="s">
        <v>910</v>
      </c>
      <c r="D11" s="366" t="s">
        <v>910</v>
      </c>
      <c r="E11" s="364"/>
      <c r="F11" s="364"/>
    </row>
    <row r="12" spans="1:12" ht="15">
      <c r="A12" s="367" t="s">
        <v>914</v>
      </c>
      <c r="B12" s="366" t="s">
        <v>912</v>
      </c>
      <c r="C12" s="366" t="s">
        <v>912</v>
      </c>
      <c r="D12" s="366" t="s">
        <v>912</v>
      </c>
      <c r="E12" s="364"/>
      <c r="F12" s="364"/>
    </row>
    <row r="13" spans="1:12" ht="15">
      <c r="A13" s="367" t="s">
        <v>915</v>
      </c>
      <c r="B13" s="366" t="s">
        <v>910</v>
      </c>
      <c r="C13" s="366" t="s">
        <v>910</v>
      </c>
      <c r="D13" s="366" t="s">
        <v>910</v>
      </c>
      <c r="E13" s="364"/>
      <c r="F13" s="364"/>
    </row>
    <row r="14" spans="1:12" ht="15">
      <c r="A14" s="367" t="s">
        <v>916</v>
      </c>
      <c r="B14" s="366" t="s">
        <v>910</v>
      </c>
      <c r="C14" s="366" t="s">
        <v>910</v>
      </c>
      <c r="D14" s="366" t="s">
        <v>910</v>
      </c>
      <c r="E14" s="364"/>
      <c r="F14" s="364"/>
    </row>
    <row r="15" spans="1:12" ht="15">
      <c r="A15" s="367" t="s">
        <v>917</v>
      </c>
      <c r="B15" s="366" t="s">
        <v>910</v>
      </c>
      <c r="C15" s="366" t="s">
        <v>910</v>
      </c>
      <c r="D15" s="366" t="s">
        <v>910</v>
      </c>
      <c r="E15" s="364"/>
      <c r="F15" s="364"/>
    </row>
    <row r="16" spans="1:12" ht="15">
      <c r="A16" s="367" t="s">
        <v>918</v>
      </c>
      <c r="B16" s="366" t="s">
        <v>910</v>
      </c>
      <c r="C16" s="366" t="s">
        <v>910</v>
      </c>
      <c r="D16" s="366" t="s">
        <v>910</v>
      </c>
      <c r="E16" s="364"/>
      <c r="F16" s="364"/>
    </row>
    <row r="17" spans="1:7" ht="13.5" customHeight="1">
      <c r="A17" s="367" t="s">
        <v>919</v>
      </c>
      <c r="B17" s="366" t="s">
        <v>910</v>
      </c>
      <c r="C17" s="366" t="s">
        <v>910</v>
      </c>
      <c r="D17" s="366" t="s">
        <v>910</v>
      </c>
      <c r="E17" s="364"/>
      <c r="F17" s="364"/>
    </row>
    <row r="18" spans="1:7" ht="13.5" customHeight="1">
      <c r="A18" s="368"/>
      <c r="B18" s="369"/>
      <c r="C18" s="369"/>
      <c r="D18" s="369"/>
      <c r="E18" s="364"/>
      <c r="F18" s="364"/>
    </row>
    <row r="19" spans="1:7" ht="13.5" customHeight="1">
      <c r="A19" s="1504" t="s">
        <v>333</v>
      </c>
      <c r="B19" s="1504"/>
      <c r="C19" s="1504"/>
      <c r="D19" s="1504"/>
      <c r="E19" s="1504"/>
      <c r="F19" s="1504"/>
      <c r="G19" s="1504"/>
    </row>
    <row r="20" spans="1:7" ht="15">
      <c r="A20" s="364"/>
      <c r="B20" s="364"/>
      <c r="C20" s="364"/>
      <c r="D20" s="364"/>
      <c r="E20" s="1505" t="s">
        <v>1109</v>
      </c>
      <c r="F20" s="1505"/>
      <c r="G20" s="1505"/>
    </row>
    <row r="21" spans="1:7" ht="46.15" customHeight="1">
      <c r="A21" s="363" t="s">
        <v>423</v>
      </c>
      <c r="B21" s="384" t="s">
        <v>3</v>
      </c>
      <c r="C21" s="365" t="s">
        <v>334</v>
      </c>
      <c r="D21" s="824" t="s">
        <v>335</v>
      </c>
      <c r="E21" s="384" t="s">
        <v>336</v>
      </c>
      <c r="F21" s="363" t="s">
        <v>337</v>
      </c>
    </row>
    <row r="22" spans="1:7" ht="15">
      <c r="A22" s="365" t="s">
        <v>338</v>
      </c>
      <c r="B22" s="370"/>
      <c r="C22" s="370"/>
      <c r="D22" s="371"/>
      <c r="E22" s="825"/>
      <c r="F22" s="372"/>
    </row>
    <row r="23" spans="1:7" ht="15">
      <c r="A23" s="365" t="s">
        <v>339</v>
      </c>
      <c r="B23" s="370"/>
      <c r="C23" s="370"/>
      <c r="D23" s="371"/>
      <c r="E23" s="825"/>
      <c r="F23" s="372"/>
    </row>
    <row r="24" spans="1:7" s="377" customFormat="1" ht="15">
      <c r="A24" s="373" t="s">
        <v>340</v>
      </c>
      <c r="B24" s="374"/>
      <c r="C24" s="136"/>
      <c r="D24" s="375"/>
      <c r="E24" s="376"/>
      <c r="F24" s="376"/>
    </row>
    <row r="25" spans="1:7" ht="38.25">
      <c r="A25" s="365" t="s">
        <v>341</v>
      </c>
      <c r="B25" s="446" t="s">
        <v>825</v>
      </c>
      <c r="C25" s="136">
        <v>1</v>
      </c>
      <c r="D25" s="136" t="s">
        <v>920</v>
      </c>
      <c r="E25" s="446" t="s">
        <v>921</v>
      </c>
      <c r="F25" s="370" t="s">
        <v>922</v>
      </c>
    </row>
    <row r="26" spans="1:7" ht="43.5" customHeight="1">
      <c r="A26" s="365" t="s">
        <v>342</v>
      </c>
      <c r="B26" s="446" t="s">
        <v>923</v>
      </c>
      <c r="C26" s="136">
        <v>1</v>
      </c>
      <c r="D26" s="375" t="s">
        <v>924</v>
      </c>
      <c r="E26" s="370" t="s">
        <v>921</v>
      </c>
      <c r="F26" s="370" t="s">
        <v>922</v>
      </c>
    </row>
    <row r="27" spans="1:7" ht="15">
      <c r="A27" s="365" t="s">
        <v>343</v>
      </c>
      <c r="B27" s="446"/>
      <c r="C27" s="136"/>
      <c r="D27" s="136"/>
      <c r="E27" s="446"/>
      <c r="F27" s="370"/>
    </row>
    <row r="28" spans="1:7" ht="15">
      <c r="A28" s="365" t="s">
        <v>344</v>
      </c>
      <c r="B28" s="446"/>
      <c r="C28" s="136"/>
      <c r="D28" s="136"/>
      <c r="E28" s="446"/>
      <c r="F28" s="370"/>
    </row>
    <row r="29" spans="1:7" ht="15">
      <c r="A29" s="365" t="s">
        <v>345</v>
      </c>
      <c r="B29" s="446"/>
      <c r="C29" s="136"/>
      <c r="D29" s="136"/>
      <c r="E29" s="446"/>
      <c r="F29" s="370"/>
    </row>
    <row r="30" spans="1:7" ht="15">
      <c r="A30" s="365" t="s">
        <v>346</v>
      </c>
      <c r="B30" s="446"/>
      <c r="C30" s="136"/>
      <c r="D30" s="375"/>
      <c r="E30" s="370"/>
      <c r="F30" s="370"/>
    </row>
    <row r="31" spans="1:7" ht="15">
      <c r="A31" s="365" t="s">
        <v>347</v>
      </c>
      <c r="B31" s="446"/>
      <c r="C31" s="446"/>
      <c r="D31" s="446"/>
      <c r="E31" s="446"/>
      <c r="F31" s="20"/>
    </row>
    <row r="32" spans="1:7" ht="15">
      <c r="A32" s="365" t="s">
        <v>348</v>
      </c>
      <c r="B32" s="446"/>
      <c r="C32" s="446"/>
      <c r="D32" s="446"/>
      <c r="E32" s="446"/>
      <c r="F32" s="20"/>
    </row>
    <row r="33" spans="1:12" ht="15">
      <c r="A33" s="365" t="s">
        <v>349</v>
      </c>
      <c r="B33" s="446"/>
      <c r="C33" s="446"/>
      <c r="D33" s="446"/>
      <c r="E33" s="446"/>
      <c r="F33" s="20"/>
    </row>
    <row r="34" spans="1:12" ht="30">
      <c r="A34" s="365" t="s">
        <v>350</v>
      </c>
      <c r="B34" s="446"/>
      <c r="C34" s="446"/>
      <c r="D34" s="446"/>
      <c r="E34" s="446"/>
      <c r="F34" s="20"/>
    </row>
    <row r="35" spans="1:12" ht="14.25" customHeight="1">
      <c r="A35" s="1499" t="s">
        <v>351</v>
      </c>
      <c r="B35" s="370"/>
      <c r="C35" s="379"/>
      <c r="D35" s="380"/>
      <c r="E35" s="370"/>
      <c r="F35" s="1495"/>
    </row>
    <row r="36" spans="1:12" ht="14.25" customHeight="1">
      <c r="A36" s="1500"/>
      <c r="B36" s="370"/>
      <c r="C36" s="379"/>
      <c r="D36" s="380"/>
      <c r="E36" s="370"/>
      <c r="F36" s="1496"/>
    </row>
    <row r="37" spans="1:12" ht="14.25" customHeight="1">
      <c r="A37" s="1500"/>
      <c r="B37" s="370"/>
      <c r="C37" s="379"/>
      <c r="D37" s="380"/>
      <c r="E37" s="370"/>
      <c r="F37" s="1496"/>
    </row>
    <row r="38" spans="1:12" ht="14.25" customHeight="1">
      <c r="A38" s="1501"/>
      <c r="B38" s="370"/>
      <c r="C38" s="379"/>
      <c r="D38" s="380"/>
      <c r="E38" s="370"/>
      <c r="F38" s="1497"/>
    </row>
    <row r="39" spans="1:12" ht="15">
      <c r="A39" s="381"/>
      <c r="B39" s="370"/>
      <c r="C39" s="379"/>
      <c r="D39" s="380"/>
      <c r="E39" s="370"/>
      <c r="F39" s="382"/>
    </row>
    <row r="40" spans="1:12" ht="15">
      <c r="A40" s="365" t="s">
        <v>352</v>
      </c>
      <c r="B40" s="20"/>
      <c r="C40" s="20"/>
      <c r="D40" s="20"/>
      <c r="E40" s="20"/>
      <c r="F40" s="20"/>
    </row>
    <row r="41" spans="1:12" ht="38.25">
      <c r="A41" s="365" t="s">
        <v>353</v>
      </c>
      <c r="B41" s="20" t="s">
        <v>835</v>
      </c>
      <c r="C41" s="19">
        <v>1</v>
      </c>
      <c r="D41" s="19" t="s">
        <v>925</v>
      </c>
      <c r="E41" s="20" t="s">
        <v>921</v>
      </c>
      <c r="F41" s="370" t="s">
        <v>922</v>
      </c>
    </row>
    <row r="42" spans="1:12" ht="14.25" customHeight="1">
      <c r="A42" s="1493" t="s">
        <v>48</v>
      </c>
      <c r="B42" s="20"/>
      <c r="C42" s="19"/>
      <c r="D42" s="378"/>
      <c r="E42" s="370"/>
      <c r="F42" s="1495"/>
    </row>
    <row r="43" spans="1:12" ht="15" customHeight="1">
      <c r="A43" s="1494"/>
      <c r="B43" s="20"/>
      <c r="C43" s="19"/>
      <c r="D43" s="383"/>
      <c r="E43" s="370"/>
      <c r="F43" s="1496"/>
    </row>
    <row r="44" spans="1:12" ht="15" customHeight="1">
      <c r="A44" s="1494"/>
      <c r="B44" s="20"/>
      <c r="C44" s="19"/>
      <c r="D44" s="383"/>
      <c r="E44" s="370"/>
      <c r="F44" s="1496"/>
    </row>
    <row r="45" spans="1:12" ht="15" customHeight="1">
      <c r="A45" s="1494"/>
      <c r="B45" s="20"/>
      <c r="C45" s="19"/>
      <c r="D45" s="266"/>
      <c r="E45" s="370"/>
      <c r="F45" s="1497"/>
    </row>
    <row r="46" spans="1:12" ht="15">
      <c r="A46" s="384" t="s">
        <v>18</v>
      </c>
      <c r="B46" s="385"/>
      <c r="C46" s="646">
        <v>3</v>
      </c>
      <c r="D46" s="386"/>
      <c r="E46" s="387"/>
      <c r="F46" s="387"/>
    </row>
    <row r="47" spans="1:12">
      <c r="B47" s="388"/>
      <c r="C47" s="388"/>
      <c r="D47" s="1498"/>
      <c r="E47" s="1498"/>
      <c r="F47" s="390"/>
      <c r="G47" s="389"/>
    </row>
    <row r="48" spans="1:12" s="246" customFormat="1" ht="12.75">
      <c r="A48" s="293"/>
      <c r="B48" s="304"/>
      <c r="C48" s="293"/>
      <c r="D48" s="293"/>
      <c r="E48" s="293"/>
      <c r="F48" s="293"/>
      <c r="G48" s="293"/>
      <c r="H48" s="293"/>
      <c r="I48" s="293"/>
      <c r="J48" s="293"/>
      <c r="K48" s="293"/>
      <c r="L48" s="293"/>
    </row>
    <row r="49" spans="1:13" s="994" customFormat="1" ht="15.6" customHeight="1">
      <c r="A49" s="15" t="s">
        <v>12</v>
      </c>
      <c r="B49" s="15"/>
      <c r="C49" s="15"/>
      <c r="E49" s="1040" t="s">
        <v>1106</v>
      </c>
      <c r="F49" s="1040"/>
      <c r="G49" s="1040"/>
    </row>
    <row r="50" spans="1:13" s="994" customFormat="1" ht="15.6" customHeight="1">
      <c r="E50" s="1040" t="s">
        <v>481</v>
      </c>
      <c r="F50" s="1040"/>
      <c r="G50" s="1040"/>
    </row>
    <row r="51" spans="1:13" s="994" customFormat="1" ht="15.6" customHeight="1">
      <c r="E51" s="1040" t="s">
        <v>1107</v>
      </c>
      <c r="F51" s="1040"/>
      <c r="G51" s="1040"/>
    </row>
    <row r="52" spans="1:13" s="246" customFormat="1" ht="12.75">
      <c r="A52" s="293"/>
      <c r="B52" s="304"/>
      <c r="C52" s="293"/>
      <c r="D52" s="293"/>
      <c r="E52" s="293"/>
      <c r="F52" s="293"/>
      <c r="G52" s="293"/>
      <c r="H52" s="1464"/>
      <c r="I52" s="1464"/>
      <c r="J52" s="1464"/>
      <c r="K52" s="1464"/>
      <c r="L52" s="1464"/>
      <c r="M52" s="1464"/>
    </row>
    <row r="53" spans="1:13">
      <c r="A53" s="388"/>
    </row>
  </sheetData>
  <mergeCells count="14">
    <mergeCell ref="A35:A38"/>
    <mergeCell ref="F35:F38"/>
    <mergeCell ref="A1:E1"/>
    <mergeCell ref="A2:F2"/>
    <mergeCell ref="A4:G4"/>
    <mergeCell ref="A19:G19"/>
    <mergeCell ref="E20:G20"/>
    <mergeCell ref="E49:G49"/>
    <mergeCell ref="E50:G50"/>
    <mergeCell ref="E51:G51"/>
    <mergeCell ref="H52:M52"/>
    <mergeCell ref="A42:A45"/>
    <mergeCell ref="F42:F45"/>
    <mergeCell ref="D47:E47"/>
  </mergeCells>
  <printOptions horizontalCentered="1"/>
  <pageMargins left="0.70866141732283472" right="0.70866141732283472" top="0.63" bottom="0" header="0.79" footer="0.31496062992125984"/>
  <pageSetup paperSize="9" scale="63" orientation="landscape" r:id="rId1"/>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zoomScaleSheetLayoutView="90" workbookViewId="0">
      <selection activeCell="B4" sqref="B4:H13"/>
    </sheetView>
  </sheetViews>
  <sheetFormatPr defaultRowHeight="12.75"/>
  <cols>
    <col min="8" max="8" width="21" customWidth="1"/>
  </cols>
  <sheetData>
    <row r="2" spans="2:8">
      <c r="B2" s="15"/>
    </row>
    <row r="4" spans="2:8" ht="12.75" customHeight="1">
      <c r="B4" s="1506" t="s">
        <v>692</v>
      </c>
      <c r="C4" s="1506"/>
      <c r="D4" s="1506"/>
      <c r="E4" s="1506"/>
      <c r="F4" s="1506"/>
      <c r="G4" s="1506"/>
      <c r="H4" s="1506"/>
    </row>
    <row r="5" spans="2:8" ht="12.75" customHeight="1">
      <c r="B5" s="1506"/>
      <c r="C5" s="1506"/>
      <c r="D5" s="1506"/>
      <c r="E5" s="1506"/>
      <c r="F5" s="1506"/>
      <c r="G5" s="1506"/>
      <c r="H5" s="1506"/>
    </row>
    <row r="6" spans="2:8" ht="12.75" customHeight="1">
      <c r="B6" s="1506"/>
      <c r="C6" s="1506"/>
      <c r="D6" s="1506"/>
      <c r="E6" s="1506"/>
      <c r="F6" s="1506"/>
      <c r="G6" s="1506"/>
      <c r="H6" s="1506"/>
    </row>
    <row r="7" spans="2:8" ht="12.75" customHeight="1">
      <c r="B7" s="1506"/>
      <c r="C7" s="1506"/>
      <c r="D7" s="1506"/>
      <c r="E7" s="1506"/>
      <c r="F7" s="1506"/>
      <c r="G7" s="1506"/>
      <c r="H7" s="1506"/>
    </row>
    <row r="8" spans="2:8" ht="12.75" customHeight="1">
      <c r="B8" s="1506"/>
      <c r="C8" s="1506"/>
      <c r="D8" s="1506"/>
      <c r="E8" s="1506"/>
      <c r="F8" s="1506"/>
      <c r="G8" s="1506"/>
      <c r="H8" s="1506"/>
    </row>
    <row r="9" spans="2:8" ht="12.75" customHeight="1">
      <c r="B9" s="1506"/>
      <c r="C9" s="1506"/>
      <c r="D9" s="1506"/>
      <c r="E9" s="1506"/>
      <c r="F9" s="1506"/>
      <c r="G9" s="1506"/>
      <c r="H9" s="1506"/>
    </row>
    <row r="10" spans="2:8" ht="12.75" customHeight="1">
      <c r="B10" s="1506"/>
      <c r="C10" s="1506"/>
      <c r="D10" s="1506"/>
      <c r="E10" s="1506"/>
      <c r="F10" s="1506"/>
      <c r="G10" s="1506"/>
      <c r="H10" s="1506"/>
    </row>
    <row r="11" spans="2:8" ht="12.75" customHeight="1">
      <c r="B11" s="1506"/>
      <c r="C11" s="1506"/>
      <c r="D11" s="1506"/>
      <c r="E11" s="1506"/>
      <c r="F11" s="1506"/>
      <c r="G11" s="1506"/>
      <c r="H11" s="1506"/>
    </row>
    <row r="12" spans="2:8" ht="12.75" customHeight="1">
      <c r="B12" s="1506"/>
      <c r="C12" s="1506"/>
      <c r="D12" s="1506"/>
      <c r="E12" s="1506"/>
      <c r="F12" s="1506"/>
      <c r="G12" s="1506"/>
      <c r="H12" s="1506"/>
    </row>
    <row r="13" spans="2:8" ht="12.75" customHeight="1">
      <c r="B13" s="1506"/>
      <c r="C13" s="1506"/>
      <c r="D13" s="1506"/>
      <c r="E13" s="1506"/>
      <c r="F13" s="1506"/>
      <c r="G13" s="1506"/>
      <c r="H13" s="1506"/>
    </row>
  </sheetData>
  <mergeCells count="1">
    <mergeCell ref="B4:H13"/>
  </mergeCells>
  <printOptions horizontalCentered="1"/>
  <pageMargins left="0.70866141732283472" right="0.70866141732283472" top="0.63" bottom="0" header="0.79"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sheetPr>
    <pageSetUpPr fitToPage="1"/>
  </sheetPr>
  <dimension ref="A1:T32"/>
  <sheetViews>
    <sheetView topLeftCell="A19" zoomScale="90" zoomScaleNormal="90" zoomScaleSheetLayoutView="100" workbookViewId="0">
      <selection activeCell="E13" sqref="E13"/>
    </sheetView>
  </sheetViews>
  <sheetFormatPr defaultColWidth="9.28515625" defaultRowHeight="14.25"/>
  <cols>
    <col min="1" max="1" width="4.7109375" style="43" customWidth="1"/>
    <col min="2" max="2" width="16.7109375" style="43" customWidth="1"/>
    <col min="3" max="3" width="11.7109375" style="43" customWidth="1"/>
    <col min="4" max="4" width="12" style="43" customWidth="1"/>
    <col min="5" max="5" width="12.28515625" style="43" customWidth="1"/>
    <col min="6" max="6" width="17.42578125" style="43" customWidth="1"/>
    <col min="7" max="7" width="12.42578125" style="43" customWidth="1"/>
    <col min="8" max="8" width="16" style="43" customWidth="1"/>
    <col min="9" max="9" width="12.7109375" style="43" customWidth="1"/>
    <col min="10" max="10" width="15" style="43" customWidth="1"/>
    <col min="11" max="11" width="16" style="43" customWidth="1"/>
    <col min="12" max="12" width="12.28515625" style="43" customWidth="1"/>
    <col min="13" max="16384" width="9.28515625" style="43"/>
  </cols>
  <sheetData>
    <row r="1" spans="1:20" ht="15" customHeight="1">
      <c r="C1" s="1033"/>
      <c r="D1" s="1033"/>
      <c r="E1" s="1033"/>
      <c r="F1" s="1033"/>
      <c r="G1" s="1033"/>
      <c r="H1" s="1033"/>
      <c r="I1" s="143"/>
      <c r="J1" s="1272" t="s">
        <v>532</v>
      </c>
      <c r="K1" s="1272"/>
    </row>
    <row r="2" spans="1:20" s="50" customFormat="1" ht="19.5" customHeight="1">
      <c r="A2" s="1511" t="s">
        <v>0</v>
      </c>
      <c r="B2" s="1511"/>
      <c r="C2" s="1511"/>
      <c r="D2" s="1511"/>
      <c r="E2" s="1511"/>
      <c r="F2" s="1511"/>
      <c r="G2" s="1511"/>
      <c r="H2" s="1511"/>
      <c r="I2" s="1511"/>
      <c r="J2" s="1511"/>
      <c r="K2" s="1511"/>
    </row>
    <row r="3" spans="1:20" s="50" customFormat="1" ht="19.5" customHeight="1">
      <c r="A3" s="1510" t="s">
        <v>636</v>
      </c>
      <c r="B3" s="1510"/>
      <c r="C3" s="1510"/>
      <c r="D3" s="1510"/>
      <c r="E3" s="1510"/>
      <c r="F3" s="1510"/>
      <c r="G3" s="1510"/>
      <c r="H3" s="1510"/>
      <c r="I3" s="1510"/>
      <c r="J3" s="1510"/>
      <c r="K3" s="1510"/>
    </row>
    <row r="4" spans="1:20" s="50" customFormat="1" ht="14.25" customHeight="1">
      <c r="A4" s="59"/>
      <c r="B4" s="59"/>
      <c r="C4" s="59"/>
      <c r="D4" s="59"/>
      <c r="E4" s="59"/>
      <c r="F4" s="59"/>
      <c r="G4" s="59"/>
      <c r="H4" s="59"/>
      <c r="I4" s="59"/>
      <c r="J4" s="59"/>
      <c r="K4" s="59"/>
    </row>
    <row r="5" spans="1:20" s="50" customFormat="1" ht="18" customHeight="1">
      <c r="A5" s="1366" t="s">
        <v>693</v>
      </c>
      <c r="B5" s="1366"/>
      <c r="C5" s="1366"/>
      <c r="D5" s="1366"/>
      <c r="E5" s="1366"/>
      <c r="F5" s="1366"/>
      <c r="G5" s="1366"/>
      <c r="H5" s="1366"/>
      <c r="I5" s="1366"/>
      <c r="J5" s="1366"/>
      <c r="K5" s="1366"/>
    </row>
    <row r="6" spans="1:20" ht="15.75">
      <c r="A6" s="1092" t="s">
        <v>1047</v>
      </c>
      <c r="B6" s="1092"/>
      <c r="C6" s="101"/>
      <c r="D6" s="101"/>
      <c r="E6" s="101"/>
      <c r="F6" s="101"/>
      <c r="G6" s="101"/>
      <c r="H6" s="101"/>
      <c r="I6" s="101"/>
      <c r="J6" s="101"/>
      <c r="K6" s="101"/>
    </row>
    <row r="7" spans="1:20" ht="29.25" customHeight="1">
      <c r="A7" s="1508" t="s">
        <v>74</v>
      </c>
      <c r="B7" s="1508" t="s">
        <v>75</v>
      </c>
      <c r="C7" s="1508" t="s">
        <v>76</v>
      </c>
      <c r="D7" s="1508" t="s">
        <v>157</v>
      </c>
      <c r="E7" s="1508"/>
      <c r="F7" s="1508"/>
      <c r="G7" s="1508"/>
      <c r="H7" s="1508"/>
      <c r="I7" s="1046" t="s">
        <v>246</v>
      </c>
      <c r="J7" s="1508" t="s">
        <v>77</v>
      </c>
      <c r="K7" s="1508" t="s">
        <v>479</v>
      </c>
      <c r="L7" s="1507" t="s">
        <v>78</v>
      </c>
      <c r="S7" s="49"/>
      <c r="T7" s="49"/>
    </row>
    <row r="8" spans="1:20" ht="33.75" customHeight="1">
      <c r="A8" s="1508"/>
      <c r="B8" s="1508"/>
      <c r="C8" s="1508"/>
      <c r="D8" s="1508" t="s">
        <v>79</v>
      </c>
      <c r="E8" s="1508" t="s">
        <v>80</v>
      </c>
      <c r="F8" s="1508"/>
      <c r="G8" s="1508"/>
      <c r="H8" s="45" t="s">
        <v>81</v>
      </c>
      <c r="I8" s="1509"/>
      <c r="J8" s="1508"/>
      <c r="K8" s="1508"/>
      <c r="L8" s="1507"/>
    </row>
    <row r="9" spans="1:20" ht="30">
      <c r="A9" s="1508"/>
      <c r="B9" s="1508"/>
      <c r="C9" s="1508"/>
      <c r="D9" s="1508"/>
      <c r="E9" s="45" t="s">
        <v>82</v>
      </c>
      <c r="F9" s="45" t="s">
        <v>83</v>
      </c>
      <c r="G9" s="45" t="s">
        <v>18</v>
      </c>
      <c r="H9" s="45"/>
      <c r="I9" s="1047"/>
      <c r="J9" s="1508"/>
      <c r="K9" s="1508"/>
      <c r="L9" s="1507"/>
    </row>
    <row r="10" spans="1:20" s="133" customFormat="1" ht="17.100000000000001" customHeight="1">
      <c r="A10" s="132">
        <v>1</v>
      </c>
      <c r="B10" s="132">
        <v>2</v>
      </c>
      <c r="C10" s="132">
        <v>3</v>
      </c>
      <c r="D10" s="132">
        <v>4</v>
      </c>
      <c r="E10" s="132">
        <v>5</v>
      </c>
      <c r="F10" s="132">
        <v>6</v>
      </c>
      <c r="G10" s="132">
        <v>7</v>
      </c>
      <c r="H10" s="132">
        <v>8</v>
      </c>
      <c r="I10" s="132">
        <v>9</v>
      </c>
      <c r="J10" s="132">
        <v>10</v>
      </c>
      <c r="K10" s="132">
        <v>11</v>
      </c>
      <c r="L10" s="132">
        <v>12</v>
      </c>
    </row>
    <row r="11" spans="1:20" ht="17.100000000000001" customHeight="1">
      <c r="A11" s="52">
        <v>1</v>
      </c>
      <c r="B11" s="53" t="s">
        <v>694</v>
      </c>
      <c r="C11" s="47">
        <v>30</v>
      </c>
      <c r="D11" s="46">
        <v>0</v>
      </c>
      <c r="E11" s="46">
        <v>5</v>
      </c>
      <c r="F11" s="46">
        <v>2</v>
      </c>
      <c r="G11" s="46">
        <f>E11+F11</f>
        <v>7</v>
      </c>
      <c r="H11" s="46">
        <v>7</v>
      </c>
      <c r="I11" s="46">
        <v>23</v>
      </c>
      <c r="J11" s="46">
        <v>23</v>
      </c>
      <c r="K11" s="46"/>
      <c r="L11" s="46"/>
    </row>
    <row r="12" spans="1:20" ht="17.100000000000001" customHeight="1">
      <c r="A12" s="52">
        <v>2</v>
      </c>
      <c r="B12" s="53" t="s">
        <v>695</v>
      </c>
      <c r="C12" s="47">
        <v>31</v>
      </c>
      <c r="D12" s="46">
        <v>21</v>
      </c>
      <c r="E12" s="46">
        <v>4</v>
      </c>
      <c r="F12" s="46">
        <v>0</v>
      </c>
      <c r="G12" s="46">
        <f t="shared" ref="G12:G22" si="0">E12+F12</f>
        <v>4</v>
      </c>
      <c r="H12" s="46">
        <f>D12+G12</f>
        <v>25</v>
      </c>
      <c r="I12" s="46">
        <v>6</v>
      </c>
      <c r="J12" s="46">
        <v>6</v>
      </c>
      <c r="K12" s="46"/>
      <c r="L12" s="46"/>
    </row>
    <row r="13" spans="1:20" ht="17.100000000000001" customHeight="1">
      <c r="A13" s="52">
        <v>3</v>
      </c>
      <c r="B13" s="53" t="s">
        <v>696</v>
      </c>
      <c r="C13" s="47">
        <v>30</v>
      </c>
      <c r="D13" s="46">
        <v>0</v>
      </c>
      <c r="E13" s="46">
        <v>4</v>
      </c>
      <c r="F13" s="46">
        <v>1</v>
      </c>
      <c r="G13" s="46">
        <f t="shared" si="0"/>
        <v>5</v>
      </c>
      <c r="H13" s="46">
        <f t="shared" ref="H13:H22" si="1">D13+G13</f>
        <v>5</v>
      </c>
      <c r="I13" s="46">
        <v>25</v>
      </c>
      <c r="J13" s="46">
        <v>25</v>
      </c>
      <c r="K13" s="46"/>
      <c r="L13" s="46"/>
    </row>
    <row r="14" spans="1:20" ht="17.100000000000001" customHeight="1">
      <c r="A14" s="52">
        <v>4</v>
      </c>
      <c r="B14" s="53" t="s">
        <v>697</v>
      </c>
      <c r="C14" s="47">
        <v>31</v>
      </c>
      <c r="D14" s="46">
        <v>0</v>
      </c>
      <c r="E14" s="46">
        <v>5</v>
      </c>
      <c r="F14" s="46">
        <v>0</v>
      </c>
      <c r="G14" s="46">
        <f t="shared" si="0"/>
        <v>5</v>
      </c>
      <c r="H14" s="46">
        <f t="shared" si="1"/>
        <v>5</v>
      </c>
      <c r="I14" s="46">
        <v>26</v>
      </c>
      <c r="J14" s="46">
        <v>26</v>
      </c>
      <c r="K14" s="46"/>
      <c r="L14" s="46"/>
    </row>
    <row r="15" spans="1:20" ht="17.100000000000001" customHeight="1">
      <c r="A15" s="52">
        <v>5</v>
      </c>
      <c r="B15" s="53" t="s">
        <v>698</v>
      </c>
      <c r="C15" s="47">
        <v>31</v>
      </c>
      <c r="D15" s="46">
        <v>0</v>
      </c>
      <c r="E15" s="46">
        <v>4</v>
      </c>
      <c r="F15" s="46">
        <v>3</v>
      </c>
      <c r="G15" s="46">
        <f t="shared" si="0"/>
        <v>7</v>
      </c>
      <c r="H15" s="46">
        <f t="shared" si="1"/>
        <v>7</v>
      </c>
      <c r="I15" s="46">
        <v>24</v>
      </c>
      <c r="J15" s="46">
        <v>24</v>
      </c>
      <c r="K15" s="46"/>
      <c r="L15" s="46"/>
    </row>
    <row r="16" spans="1:20" s="51" customFormat="1" ht="17.100000000000001" customHeight="1">
      <c r="A16" s="52">
        <v>6</v>
      </c>
      <c r="B16" s="53" t="s">
        <v>699</v>
      </c>
      <c r="C16" s="52">
        <v>30</v>
      </c>
      <c r="D16" s="53">
        <v>0</v>
      </c>
      <c r="E16" s="53">
        <v>5</v>
      </c>
      <c r="F16" s="53">
        <v>3</v>
      </c>
      <c r="G16" s="46">
        <f t="shared" si="0"/>
        <v>8</v>
      </c>
      <c r="H16" s="46">
        <f t="shared" si="1"/>
        <v>8</v>
      </c>
      <c r="I16" s="53">
        <v>22</v>
      </c>
      <c r="J16" s="53">
        <v>22</v>
      </c>
      <c r="K16" s="53"/>
      <c r="L16" s="53"/>
    </row>
    <row r="17" spans="1:13" s="51" customFormat="1" ht="17.100000000000001" customHeight="1">
      <c r="A17" s="52">
        <v>7</v>
      </c>
      <c r="B17" s="53" t="s">
        <v>700</v>
      </c>
      <c r="C17" s="52">
        <v>31</v>
      </c>
      <c r="D17" s="53">
        <v>0</v>
      </c>
      <c r="E17" s="53">
        <v>4</v>
      </c>
      <c r="F17" s="53">
        <v>3</v>
      </c>
      <c r="G17" s="46">
        <f t="shared" si="0"/>
        <v>7</v>
      </c>
      <c r="H17" s="46">
        <f t="shared" si="1"/>
        <v>7</v>
      </c>
      <c r="I17" s="53">
        <v>24</v>
      </c>
      <c r="J17" s="53">
        <v>24</v>
      </c>
      <c r="K17" s="53"/>
      <c r="L17" s="53"/>
    </row>
    <row r="18" spans="1:13" s="51" customFormat="1" ht="17.100000000000001" customHeight="1">
      <c r="A18" s="52">
        <v>8</v>
      </c>
      <c r="B18" s="53" t="s">
        <v>701</v>
      </c>
      <c r="C18" s="52">
        <v>30</v>
      </c>
      <c r="D18" s="53">
        <v>21</v>
      </c>
      <c r="E18" s="53">
        <v>4</v>
      </c>
      <c r="F18" s="53">
        <v>5</v>
      </c>
      <c r="G18" s="46">
        <f t="shared" si="0"/>
        <v>9</v>
      </c>
      <c r="H18" s="46">
        <f t="shared" si="1"/>
        <v>30</v>
      </c>
      <c r="I18" s="53">
        <v>0</v>
      </c>
      <c r="J18" s="53">
        <v>0</v>
      </c>
      <c r="K18" s="53"/>
      <c r="L18" s="53"/>
    </row>
    <row r="19" spans="1:13" s="51" customFormat="1" ht="17.100000000000001" customHeight="1">
      <c r="A19" s="52">
        <v>9</v>
      </c>
      <c r="B19" s="53" t="s">
        <v>702</v>
      </c>
      <c r="C19" s="52">
        <v>31</v>
      </c>
      <c r="D19" s="53">
        <v>0</v>
      </c>
      <c r="E19" s="53">
        <v>5</v>
      </c>
      <c r="F19" s="53">
        <v>2</v>
      </c>
      <c r="G19" s="46">
        <f t="shared" si="0"/>
        <v>7</v>
      </c>
      <c r="H19" s="46">
        <f t="shared" si="1"/>
        <v>7</v>
      </c>
      <c r="I19" s="53">
        <v>24</v>
      </c>
      <c r="J19" s="53">
        <v>24</v>
      </c>
      <c r="K19" s="53"/>
      <c r="L19" s="53"/>
    </row>
    <row r="20" spans="1:13" s="51" customFormat="1" ht="17.100000000000001" customHeight="1">
      <c r="A20" s="52">
        <v>10</v>
      </c>
      <c r="B20" s="53" t="s">
        <v>703</v>
      </c>
      <c r="C20" s="52">
        <v>31</v>
      </c>
      <c r="D20" s="53">
        <v>0</v>
      </c>
      <c r="E20" s="53">
        <v>4</v>
      </c>
      <c r="F20" s="53">
        <v>2</v>
      </c>
      <c r="G20" s="46">
        <f t="shared" si="0"/>
        <v>6</v>
      </c>
      <c r="H20" s="46">
        <f t="shared" si="1"/>
        <v>6</v>
      </c>
      <c r="I20" s="53">
        <v>25</v>
      </c>
      <c r="J20" s="53">
        <v>25</v>
      </c>
      <c r="K20" s="53"/>
      <c r="L20" s="53"/>
    </row>
    <row r="21" spans="1:13" s="51" customFormat="1" ht="17.100000000000001" customHeight="1">
      <c r="A21" s="52">
        <v>11</v>
      </c>
      <c r="B21" s="53" t="s">
        <v>704</v>
      </c>
      <c r="C21" s="52">
        <v>28</v>
      </c>
      <c r="D21" s="54">
        <v>0</v>
      </c>
      <c r="E21" s="54">
        <v>4</v>
      </c>
      <c r="F21" s="54">
        <v>0</v>
      </c>
      <c r="G21" s="46">
        <f t="shared" si="0"/>
        <v>4</v>
      </c>
      <c r="H21" s="46">
        <f t="shared" si="1"/>
        <v>4</v>
      </c>
      <c r="I21" s="54">
        <v>24</v>
      </c>
      <c r="J21" s="54">
        <v>24</v>
      </c>
      <c r="K21" s="53"/>
      <c r="L21" s="53"/>
    </row>
    <row r="22" spans="1:13" s="51" customFormat="1" ht="17.100000000000001" customHeight="1">
      <c r="A22" s="52">
        <v>12</v>
      </c>
      <c r="B22" s="53" t="s">
        <v>705</v>
      </c>
      <c r="C22" s="52">
        <v>31</v>
      </c>
      <c r="D22" s="54">
        <v>0</v>
      </c>
      <c r="E22" s="54">
        <v>5</v>
      </c>
      <c r="F22" s="54">
        <v>1</v>
      </c>
      <c r="G22" s="46">
        <f t="shared" si="0"/>
        <v>6</v>
      </c>
      <c r="H22" s="46">
        <f t="shared" si="1"/>
        <v>6</v>
      </c>
      <c r="I22" s="54">
        <v>25</v>
      </c>
      <c r="J22" s="54">
        <v>25</v>
      </c>
      <c r="K22" s="53"/>
      <c r="L22" s="53"/>
    </row>
    <row r="23" spans="1:13" s="51" customFormat="1" ht="17.100000000000001" customHeight="1">
      <c r="A23" s="53"/>
      <c r="B23" s="55" t="s">
        <v>18</v>
      </c>
      <c r="C23" s="52">
        <v>365</v>
      </c>
      <c r="D23" s="52">
        <f>SUM(D11:D22)</f>
        <v>42</v>
      </c>
      <c r="E23" s="52">
        <f t="shared" ref="E23:L23" si="2">SUM(E11:E22)</f>
        <v>53</v>
      </c>
      <c r="F23" s="52">
        <f t="shared" si="2"/>
        <v>22</v>
      </c>
      <c r="G23" s="52">
        <f t="shared" si="2"/>
        <v>75</v>
      </c>
      <c r="H23" s="52">
        <f t="shared" si="2"/>
        <v>117</v>
      </c>
      <c r="I23" s="52">
        <f t="shared" si="2"/>
        <v>248</v>
      </c>
      <c r="J23" s="52">
        <f t="shared" si="2"/>
        <v>248</v>
      </c>
      <c r="K23" s="52">
        <f t="shared" si="2"/>
        <v>0</v>
      </c>
      <c r="L23" s="52">
        <f t="shared" si="2"/>
        <v>0</v>
      </c>
    </row>
    <row r="24" spans="1:13" s="51" customFormat="1" ht="11.25" customHeight="1">
      <c r="A24" s="56"/>
      <c r="B24" s="57"/>
      <c r="C24" s="58"/>
      <c r="D24" s="56"/>
      <c r="E24" s="56"/>
      <c r="F24" s="56"/>
      <c r="G24" s="56"/>
      <c r="H24" s="56"/>
      <c r="I24" s="56"/>
      <c r="J24" s="56"/>
      <c r="K24" s="56"/>
    </row>
    <row r="25" spans="1:13" ht="15">
      <c r="A25" s="48" t="s">
        <v>105</v>
      </c>
      <c r="B25" s="48"/>
      <c r="C25" s="48"/>
      <c r="D25" s="48"/>
      <c r="E25" s="48"/>
      <c r="F25" s="48"/>
      <c r="G25" s="48"/>
      <c r="H25" s="48"/>
      <c r="I25" s="48"/>
      <c r="J25" s="48"/>
    </row>
    <row r="26" spans="1:13" ht="15">
      <c r="A26" s="48"/>
      <c r="B26" s="48"/>
      <c r="C26" s="48"/>
      <c r="D26" s="48"/>
      <c r="E26" s="48"/>
      <c r="F26" s="48"/>
      <c r="G26" s="48"/>
      <c r="H26" s="48"/>
      <c r="I26" s="48"/>
      <c r="J26" s="48"/>
    </row>
    <row r="27" spans="1:13" ht="15">
      <c r="A27" s="48"/>
      <c r="B27" s="48"/>
      <c r="C27" s="48"/>
      <c r="D27" s="48"/>
      <c r="E27" s="48"/>
      <c r="F27" s="48"/>
      <c r="G27" s="48"/>
      <c r="H27" s="48"/>
      <c r="I27" s="48"/>
      <c r="J27" s="48"/>
    </row>
    <row r="28" spans="1:13" s="246" customFormat="1" ht="12.75">
      <c r="A28" s="293"/>
      <c r="B28" s="304"/>
      <c r="C28" s="293"/>
      <c r="D28" s="293"/>
      <c r="E28" s="293"/>
      <c r="F28" s="293"/>
      <c r="G28" s="293"/>
      <c r="H28" s="293"/>
      <c r="I28" s="293"/>
      <c r="J28" s="293"/>
      <c r="K28" s="293"/>
      <c r="L28" s="293"/>
    </row>
    <row r="29" spans="1:13" s="994" customFormat="1" ht="15.6" customHeight="1">
      <c r="A29" s="15" t="s">
        <v>12</v>
      </c>
      <c r="B29" s="15"/>
      <c r="C29" s="15"/>
      <c r="J29" s="1040" t="s">
        <v>1106</v>
      </c>
      <c r="K29" s="1040"/>
      <c r="L29" s="1040"/>
    </row>
    <row r="30" spans="1:13" s="994" customFormat="1" ht="15.6" customHeight="1">
      <c r="J30" s="1040" t="s">
        <v>481</v>
      </c>
      <c r="K30" s="1040"/>
      <c r="L30" s="1040"/>
    </row>
    <row r="31" spans="1:13" s="994" customFormat="1" ht="15.6" customHeight="1">
      <c r="J31" s="1040" t="s">
        <v>1107</v>
      </c>
      <c r="K31" s="1040"/>
      <c r="L31" s="1040"/>
    </row>
    <row r="32" spans="1:13" s="246" customFormat="1" ht="12.75">
      <c r="A32" s="293"/>
      <c r="B32" s="304"/>
      <c r="C32" s="293"/>
      <c r="D32" s="293"/>
      <c r="E32" s="293"/>
      <c r="F32" s="293"/>
      <c r="G32" s="293"/>
      <c r="H32" s="1464"/>
      <c r="I32" s="1464"/>
      <c r="J32" s="1464"/>
      <c r="K32" s="1464"/>
      <c r="L32" s="1464"/>
      <c r="M32" s="1464"/>
    </row>
  </sheetData>
  <mergeCells count="20">
    <mergeCell ref="C1:H1"/>
    <mergeCell ref="J1:K1"/>
    <mergeCell ref="A3:K3"/>
    <mergeCell ref="A2:K2"/>
    <mergeCell ref="A6:B6"/>
    <mergeCell ref="A5:K5"/>
    <mergeCell ref="D8:D9"/>
    <mergeCell ref="E8:G8"/>
    <mergeCell ref="I7:I9"/>
    <mergeCell ref="J29:L29"/>
    <mergeCell ref="A7:A9"/>
    <mergeCell ref="B7:B9"/>
    <mergeCell ref="C7:C9"/>
    <mergeCell ref="D7:H7"/>
    <mergeCell ref="J7:J9"/>
    <mergeCell ref="J30:L30"/>
    <mergeCell ref="J31:L31"/>
    <mergeCell ref="H32:M32"/>
    <mergeCell ref="L7:L9"/>
    <mergeCell ref="K7:K9"/>
  </mergeCells>
  <phoneticPr fontId="0" type="noConversion"/>
  <printOptions horizontalCentered="1"/>
  <pageMargins left="0.70866141732283472" right="0.70866141732283472" top="0.63" bottom="0" header="0.79" footer="0.31496062992125984"/>
  <pageSetup paperSize="9" scale="84"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S32"/>
  <sheetViews>
    <sheetView topLeftCell="A22" zoomScaleSheetLayoutView="100" workbookViewId="0">
      <selection activeCell="E13" sqref="E13"/>
    </sheetView>
  </sheetViews>
  <sheetFormatPr defaultColWidth="9.28515625" defaultRowHeight="14.25"/>
  <cols>
    <col min="1" max="1" width="4.7109375" style="43" customWidth="1"/>
    <col min="2" max="2" width="14.7109375" style="43" customWidth="1"/>
    <col min="3" max="3" width="11.7109375" style="43" customWidth="1"/>
    <col min="4" max="4" width="12" style="43" customWidth="1"/>
    <col min="5" max="5" width="11.7109375" style="43" customWidth="1"/>
    <col min="6" max="6" width="18.7109375" style="43" customWidth="1"/>
    <col min="7" max="7" width="10.28515625" style="43" customWidth="1"/>
    <col min="8" max="8" width="14.7109375" style="43" customWidth="1"/>
    <col min="9" max="9" width="15.28515625" style="43" customWidth="1"/>
    <col min="10" max="10" width="14.7109375" style="43" customWidth="1"/>
    <col min="11" max="11" width="11.7109375" style="43" customWidth="1"/>
    <col min="12" max="16384" width="9.28515625" style="43"/>
  </cols>
  <sheetData>
    <row r="1" spans="1:19" ht="15" customHeight="1">
      <c r="C1" s="1033"/>
      <c r="D1" s="1033"/>
      <c r="E1" s="1033"/>
      <c r="F1" s="1033"/>
      <c r="G1" s="1033"/>
      <c r="H1" s="1033"/>
      <c r="I1" s="143"/>
      <c r="J1" s="38" t="s">
        <v>533</v>
      </c>
    </row>
    <row r="2" spans="1:19" s="50" customFormat="1" ht="19.5" customHeight="1">
      <c r="A2" s="1511" t="s">
        <v>0</v>
      </c>
      <c r="B2" s="1511"/>
      <c r="C2" s="1511"/>
      <c r="D2" s="1511"/>
      <c r="E2" s="1511"/>
      <c r="F2" s="1511"/>
      <c r="G2" s="1511"/>
      <c r="H2" s="1511"/>
      <c r="I2" s="1511"/>
      <c r="J2" s="1511"/>
    </row>
    <row r="3" spans="1:19" s="50" customFormat="1" ht="19.5" customHeight="1">
      <c r="A3" s="1510" t="s">
        <v>636</v>
      </c>
      <c r="B3" s="1510"/>
      <c r="C3" s="1510"/>
      <c r="D3" s="1510"/>
      <c r="E3" s="1510"/>
      <c r="F3" s="1510"/>
      <c r="G3" s="1510"/>
      <c r="H3" s="1510"/>
      <c r="I3" s="1510"/>
      <c r="J3" s="1510"/>
    </row>
    <row r="4" spans="1:19" s="50" customFormat="1" ht="14.25" customHeight="1">
      <c r="A4" s="59"/>
      <c r="B4" s="59"/>
      <c r="C4" s="59"/>
      <c r="D4" s="59"/>
      <c r="E4" s="59"/>
      <c r="F4" s="59"/>
      <c r="G4" s="59"/>
      <c r="H4" s="59"/>
      <c r="I4" s="59"/>
      <c r="J4" s="59"/>
    </row>
    <row r="5" spans="1:19" s="50" customFormat="1" ht="18" customHeight="1">
      <c r="A5" s="1366" t="s">
        <v>706</v>
      </c>
      <c r="B5" s="1366"/>
      <c r="C5" s="1366"/>
      <c r="D5" s="1366"/>
      <c r="E5" s="1366"/>
      <c r="F5" s="1366"/>
      <c r="G5" s="1366"/>
      <c r="H5" s="1366"/>
      <c r="I5" s="1366"/>
      <c r="J5" s="1366"/>
    </row>
    <row r="6" spans="1:19" ht="15.75">
      <c r="A6" s="1092" t="s">
        <v>1061</v>
      </c>
      <c r="B6" s="1092"/>
      <c r="C6" s="122"/>
      <c r="D6" s="122"/>
      <c r="E6" s="122"/>
      <c r="F6" s="122"/>
      <c r="G6" s="122"/>
      <c r="H6" s="122"/>
      <c r="I6" s="142"/>
      <c r="J6" s="142"/>
    </row>
    <row r="7" spans="1:19" ht="29.25" customHeight="1">
      <c r="A7" s="1508" t="s">
        <v>74</v>
      </c>
      <c r="B7" s="1508" t="s">
        <v>75</v>
      </c>
      <c r="C7" s="1508" t="s">
        <v>76</v>
      </c>
      <c r="D7" s="1508" t="s">
        <v>158</v>
      </c>
      <c r="E7" s="1508"/>
      <c r="F7" s="1508"/>
      <c r="G7" s="1508"/>
      <c r="H7" s="1508"/>
      <c r="I7" s="1046" t="s">
        <v>246</v>
      </c>
      <c r="J7" s="1508" t="s">
        <v>77</v>
      </c>
      <c r="K7" s="1508" t="s">
        <v>231</v>
      </c>
    </row>
    <row r="8" spans="1:19" ht="34.15" customHeight="1">
      <c r="A8" s="1508"/>
      <c r="B8" s="1508"/>
      <c r="C8" s="1508"/>
      <c r="D8" s="1508" t="s">
        <v>79</v>
      </c>
      <c r="E8" s="1508" t="s">
        <v>80</v>
      </c>
      <c r="F8" s="1508"/>
      <c r="G8" s="1508"/>
      <c r="H8" s="1046" t="s">
        <v>81</v>
      </c>
      <c r="I8" s="1509"/>
      <c r="J8" s="1508"/>
      <c r="K8" s="1508"/>
      <c r="R8" s="49"/>
      <c r="S8" s="49"/>
    </row>
    <row r="9" spans="1:19" ht="33.75" customHeight="1">
      <c r="A9" s="1508"/>
      <c r="B9" s="1508"/>
      <c r="C9" s="1508"/>
      <c r="D9" s="1508"/>
      <c r="E9" s="45" t="s">
        <v>82</v>
      </c>
      <c r="F9" s="45" t="s">
        <v>83</v>
      </c>
      <c r="G9" s="45" t="s">
        <v>18</v>
      </c>
      <c r="H9" s="1047"/>
      <c r="I9" s="1047"/>
      <c r="J9" s="1508"/>
      <c r="K9" s="1508"/>
    </row>
    <row r="10" spans="1:19" s="51" customFormat="1" ht="17.100000000000001" customHeight="1">
      <c r="A10" s="45">
        <v>1</v>
      </c>
      <c r="B10" s="45">
        <v>2</v>
      </c>
      <c r="C10" s="45">
        <v>3</v>
      </c>
      <c r="D10" s="45">
        <v>4</v>
      </c>
      <c r="E10" s="45">
        <v>5</v>
      </c>
      <c r="F10" s="45">
        <v>6</v>
      </c>
      <c r="G10" s="45">
        <v>7</v>
      </c>
      <c r="H10" s="45">
        <v>8</v>
      </c>
      <c r="I10" s="45">
        <v>9</v>
      </c>
      <c r="J10" s="45">
        <v>10</v>
      </c>
      <c r="K10" s="45">
        <v>11</v>
      </c>
    </row>
    <row r="11" spans="1:19" ht="17.100000000000001" customHeight="1">
      <c r="A11" s="52">
        <v>1</v>
      </c>
      <c r="B11" s="53" t="s">
        <v>694</v>
      </c>
      <c r="C11" s="47">
        <v>30</v>
      </c>
      <c r="D11" s="46">
        <v>0</v>
      </c>
      <c r="E11" s="46">
        <v>5</v>
      </c>
      <c r="F11" s="46">
        <v>2</v>
      </c>
      <c r="G11" s="46">
        <f>E11+F11</f>
        <v>7</v>
      </c>
      <c r="H11" s="46">
        <f>D11+G11</f>
        <v>7</v>
      </c>
      <c r="I11" s="46">
        <v>23</v>
      </c>
      <c r="J11" s="46">
        <v>23</v>
      </c>
      <c r="K11" s="46"/>
    </row>
    <row r="12" spans="1:19" ht="17.100000000000001" customHeight="1">
      <c r="A12" s="52">
        <v>2</v>
      </c>
      <c r="B12" s="53" t="s">
        <v>695</v>
      </c>
      <c r="C12" s="47">
        <v>31</v>
      </c>
      <c r="D12" s="46">
        <v>21</v>
      </c>
      <c r="E12" s="46">
        <v>4</v>
      </c>
      <c r="F12" s="46">
        <v>0</v>
      </c>
      <c r="G12" s="46">
        <f t="shared" ref="G12:G22" si="0">E12+F12</f>
        <v>4</v>
      </c>
      <c r="H12" s="46">
        <f t="shared" ref="H12:H22" si="1">D12+G12</f>
        <v>25</v>
      </c>
      <c r="I12" s="46">
        <v>6</v>
      </c>
      <c r="J12" s="46">
        <v>6</v>
      </c>
      <c r="K12" s="46"/>
    </row>
    <row r="13" spans="1:19" ht="17.100000000000001" customHeight="1">
      <c r="A13" s="52">
        <v>3</v>
      </c>
      <c r="B13" s="53" t="s">
        <v>696</v>
      </c>
      <c r="C13" s="47">
        <v>30</v>
      </c>
      <c r="D13" s="46">
        <v>0</v>
      </c>
      <c r="E13" s="46">
        <v>4</v>
      </c>
      <c r="F13" s="46">
        <v>1</v>
      </c>
      <c r="G13" s="46">
        <f t="shared" si="0"/>
        <v>5</v>
      </c>
      <c r="H13" s="46">
        <f t="shared" si="1"/>
        <v>5</v>
      </c>
      <c r="I13" s="46">
        <v>25</v>
      </c>
      <c r="J13" s="46">
        <v>25</v>
      </c>
      <c r="K13" s="53"/>
    </row>
    <row r="14" spans="1:19" ht="17.100000000000001" customHeight="1">
      <c r="A14" s="52">
        <v>4</v>
      </c>
      <c r="B14" s="53" t="s">
        <v>697</v>
      </c>
      <c r="C14" s="47">
        <v>31</v>
      </c>
      <c r="D14" s="46">
        <v>0</v>
      </c>
      <c r="E14" s="46">
        <v>5</v>
      </c>
      <c r="F14" s="46">
        <v>0</v>
      </c>
      <c r="G14" s="46">
        <f t="shared" si="0"/>
        <v>5</v>
      </c>
      <c r="H14" s="46">
        <f t="shared" si="1"/>
        <v>5</v>
      </c>
      <c r="I14" s="46">
        <v>26</v>
      </c>
      <c r="J14" s="46">
        <v>26</v>
      </c>
      <c r="K14" s="53"/>
    </row>
    <row r="15" spans="1:19" ht="17.100000000000001" customHeight="1">
      <c r="A15" s="52">
        <v>5</v>
      </c>
      <c r="B15" s="53" t="s">
        <v>698</v>
      </c>
      <c r="C15" s="47">
        <v>31</v>
      </c>
      <c r="D15" s="46">
        <v>0</v>
      </c>
      <c r="E15" s="46">
        <v>4</v>
      </c>
      <c r="F15" s="46">
        <v>3</v>
      </c>
      <c r="G15" s="46">
        <f t="shared" si="0"/>
        <v>7</v>
      </c>
      <c r="H15" s="46">
        <f t="shared" si="1"/>
        <v>7</v>
      </c>
      <c r="I15" s="46">
        <v>24</v>
      </c>
      <c r="J15" s="46">
        <v>24</v>
      </c>
      <c r="K15" s="53"/>
    </row>
    <row r="16" spans="1:19" s="51" customFormat="1" ht="17.100000000000001" customHeight="1">
      <c r="A16" s="52">
        <v>6</v>
      </c>
      <c r="B16" s="53" t="s">
        <v>699</v>
      </c>
      <c r="C16" s="52">
        <v>30</v>
      </c>
      <c r="D16" s="53">
        <v>0</v>
      </c>
      <c r="E16" s="53">
        <v>5</v>
      </c>
      <c r="F16" s="53">
        <v>3</v>
      </c>
      <c r="G16" s="46">
        <f t="shared" si="0"/>
        <v>8</v>
      </c>
      <c r="H16" s="46">
        <f t="shared" si="1"/>
        <v>8</v>
      </c>
      <c r="I16" s="53">
        <v>22</v>
      </c>
      <c r="J16" s="53">
        <v>22</v>
      </c>
      <c r="K16" s="53"/>
    </row>
    <row r="17" spans="1:12" s="51" customFormat="1" ht="17.100000000000001" customHeight="1">
      <c r="A17" s="52">
        <v>7</v>
      </c>
      <c r="B17" s="53" t="s">
        <v>700</v>
      </c>
      <c r="C17" s="52">
        <v>31</v>
      </c>
      <c r="D17" s="53">
        <v>0</v>
      </c>
      <c r="E17" s="53">
        <v>4</v>
      </c>
      <c r="F17" s="53">
        <v>3</v>
      </c>
      <c r="G17" s="46">
        <f t="shared" si="0"/>
        <v>7</v>
      </c>
      <c r="H17" s="46">
        <f t="shared" si="1"/>
        <v>7</v>
      </c>
      <c r="I17" s="53">
        <v>24</v>
      </c>
      <c r="J17" s="53">
        <v>24</v>
      </c>
      <c r="K17" s="53"/>
    </row>
    <row r="18" spans="1:12" s="51" customFormat="1" ht="17.100000000000001" customHeight="1">
      <c r="A18" s="52">
        <v>8</v>
      </c>
      <c r="B18" s="53" t="s">
        <v>701</v>
      </c>
      <c r="C18" s="52">
        <v>30</v>
      </c>
      <c r="D18" s="53">
        <v>21</v>
      </c>
      <c r="E18" s="53">
        <v>4</v>
      </c>
      <c r="F18" s="53">
        <v>5</v>
      </c>
      <c r="G18" s="46">
        <f t="shared" si="0"/>
        <v>9</v>
      </c>
      <c r="H18" s="46">
        <f t="shared" si="1"/>
        <v>30</v>
      </c>
      <c r="I18" s="53">
        <v>0</v>
      </c>
      <c r="J18" s="53">
        <v>0</v>
      </c>
      <c r="K18" s="53"/>
    </row>
    <row r="19" spans="1:12" s="51" customFormat="1" ht="17.100000000000001" customHeight="1">
      <c r="A19" s="52">
        <v>9</v>
      </c>
      <c r="B19" s="53" t="s">
        <v>702</v>
      </c>
      <c r="C19" s="52">
        <v>31</v>
      </c>
      <c r="D19" s="53">
        <v>0</v>
      </c>
      <c r="E19" s="53">
        <v>5</v>
      </c>
      <c r="F19" s="53">
        <v>2</v>
      </c>
      <c r="G19" s="46">
        <f t="shared" si="0"/>
        <v>7</v>
      </c>
      <c r="H19" s="46">
        <f t="shared" si="1"/>
        <v>7</v>
      </c>
      <c r="I19" s="53">
        <v>24</v>
      </c>
      <c r="J19" s="53">
        <v>24</v>
      </c>
      <c r="K19" s="53"/>
    </row>
    <row r="20" spans="1:12" s="51" customFormat="1" ht="17.100000000000001" customHeight="1">
      <c r="A20" s="52">
        <v>10</v>
      </c>
      <c r="B20" s="53" t="s">
        <v>703</v>
      </c>
      <c r="C20" s="52">
        <v>31</v>
      </c>
      <c r="D20" s="53">
        <v>0</v>
      </c>
      <c r="E20" s="53">
        <v>4</v>
      </c>
      <c r="F20" s="53">
        <v>2</v>
      </c>
      <c r="G20" s="46">
        <f t="shared" si="0"/>
        <v>6</v>
      </c>
      <c r="H20" s="46">
        <f t="shared" si="1"/>
        <v>6</v>
      </c>
      <c r="I20" s="53">
        <v>25</v>
      </c>
      <c r="J20" s="53">
        <v>25</v>
      </c>
      <c r="K20" s="53"/>
    </row>
    <row r="21" spans="1:12" s="51" customFormat="1" ht="17.100000000000001" customHeight="1">
      <c r="A21" s="52">
        <v>11</v>
      </c>
      <c r="B21" s="53" t="s">
        <v>704</v>
      </c>
      <c r="C21" s="52">
        <v>28</v>
      </c>
      <c r="D21" s="54">
        <v>0</v>
      </c>
      <c r="E21" s="54">
        <v>4</v>
      </c>
      <c r="F21" s="54">
        <v>0</v>
      </c>
      <c r="G21" s="46">
        <f t="shared" si="0"/>
        <v>4</v>
      </c>
      <c r="H21" s="46">
        <f t="shared" si="1"/>
        <v>4</v>
      </c>
      <c r="I21" s="54">
        <v>24</v>
      </c>
      <c r="J21" s="54">
        <v>24</v>
      </c>
      <c r="K21" s="53"/>
    </row>
    <row r="22" spans="1:12" s="51" customFormat="1" ht="17.100000000000001" customHeight="1">
      <c r="A22" s="52">
        <v>12</v>
      </c>
      <c r="B22" s="53" t="s">
        <v>705</v>
      </c>
      <c r="C22" s="52">
        <v>31</v>
      </c>
      <c r="D22" s="54">
        <v>0</v>
      </c>
      <c r="E22" s="54">
        <v>5</v>
      </c>
      <c r="F22" s="54">
        <v>1</v>
      </c>
      <c r="G22" s="46">
        <f t="shared" si="0"/>
        <v>6</v>
      </c>
      <c r="H22" s="46">
        <f t="shared" si="1"/>
        <v>6</v>
      </c>
      <c r="I22" s="54">
        <v>25</v>
      </c>
      <c r="J22" s="54">
        <v>25</v>
      </c>
      <c r="K22" s="53"/>
    </row>
    <row r="23" spans="1:12" s="51" customFormat="1" ht="17.100000000000001" customHeight="1">
      <c r="A23" s="53"/>
      <c r="B23" s="55" t="s">
        <v>18</v>
      </c>
      <c r="C23" s="52">
        <v>365</v>
      </c>
      <c r="D23" s="53">
        <f>SUM(D11:D22)</f>
        <v>42</v>
      </c>
      <c r="E23" s="53">
        <f t="shared" ref="E23:K23" si="2">SUM(E11:E22)</f>
        <v>53</v>
      </c>
      <c r="F23" s="53">
        <f t="shared" si="2"/>
        <v>22</v>
      </c>
      <c r="G23" s="53">
        <f t="shared" si="2"/>
        <v>75</v>
      </c>
      <c r="H23" s="53">
        <f t="shared" si="2"/>
        <v>117</v>
      </c>
      <c r="I23" s="53">
        <f t="shared" si="2"/>
        <v>248</v>
      </c>
      <c r="J23" s="53">
        <f t="shared" si="2"/>
        <v>248</v>
      </c>
      <c r="K23" s="53">
        <f t="shared" si="2"/>
        <v>0</v>
      </c>
    </row>
    <row r="24" spans="1:12" s="51" customFormat="1" ht="11.25" customHeight="1">
      <c r="A24" s="56"/>
      <c r="B24" s="57"/>
      <c r="C24" s="58"/>
      <c r="D24" s="56"/>
      <c r="E24" s="56"/>
      <c r="F24" s="56"/>
      <c r="G24" s="56"/>
      <c r="H24" s="56"/>
      <c r="I24" s="56"/>
      <c r="J24" s="56"/>
      <c r="K24" s="56"/>
    </row>
    <row r="25" spans="1:12" ht="15">
      <c r="A25" s="48" t="s">
        <v>105</v>
      </c>
      <c r="B25" s="48"/>
      <c r="C25" s="48"/>
      <c r="D25" s="48"/>
      <c r="E25" s="48"/>
      <c r="F25" s="48"/>
      <c r="G25" s="48"/>
      <c r="H25" s="48"/>
      <c r="I25" s="48"/>
      <c r="J25" s="48"/>
    </row>
    <row r="26" spans="1:12" ht="15">
      <c r="A26" s="48"/>
      <c r="B26" s="48"/>
      <c r="C26" s="48"/>
      <c r="D26" s="48"/>
      <c r="E26" s="48"/>
      <c r="F26" s="48"/>
      <c r="G26" s="48"/>
      <c r="H26" s="48"/>
      <c r="I26" s="48"/>
      <c r="J26" s="48"/>
    </row>
    <row r="27" spans="1:12" ht="15">
      <c r="A27" s="48"/>
      <c r="B27" s="48"/>
      <c r="C27" s="48"/>
      <c r="D27" s="48"/>
      <c r="E27" s="48"/>
      <c r="F27" s="48"/>
      <c r="G27" s="48"/>
      <c r="H27" s="48"/>
      <c r="I27" s="48"/>
      <c r="J27" s="48"/>
    </row>
    <row r="28" spans="1:12">
      <c r="D28" s="43" t="s">
        <v>11</v>
      </c>
    </row>
    <row r="29" spans="1:12" s="994" customFormat="1" ht="15.6" customHeight="1">
      <c r="A29" s="15" t="s">
        <v>12</v>
      </c>
      <c r="B29" s="15"/>
      <c r="C29" s="15"/>
      <c r="J29" s="1040" t="s">
        <v>1106</v>
      </c>
      <c r="K29" s="1040"/>
      <c r="L29" s="1040"/>
    </row>
    <row r="30" spans="1:12" s="994" customFormat="1" ht="15.6" customHeight="1">
      <c r="J30" s="1040" t="s">
        <v>481</v>
      </c>
      <c r="K30" s="1040"/>
      <c r="L30" s="1040"/>
    </row>
    <row r="31" spans="1:12" s="994" customFormat="1" ht="15.6" customHeight="1">
      <c r="J31" s="1040" t="s">
        <v>1107</v>
      </c>
      <c r="K31" s="1040"/>
      <c r="L31" s="1040"/>
    </row>
    <row r="32" spans="1:12" ht="15">
      <c r="A32" s="48"/>
      <c r="B32" s="48"/>
      <c r="C32" s="48"/>
      <c r="D32" s="48"/>
      <c r="E32" s="48"/>
      <c r="F32" s="48"/>
      <c r="G32" s="48"/>
      <c r="H32" s="48"/>
      <c r="I32" s="48"/>
      <c r="J32" s="48"/>
    </row>
  </sheetData>
  <mergeCells count="18">
    <mergeCell ref="C1:H1"/>
    <mergeCell ref="A2:J2"/>
    <mergeCell ref="A3:J3"/>
    <mergeCell ref="A5:J5"/>
    <mergeCell ref="A6:B6"/>
    <mergeCell ref="J29:L29"/>
    <mergeCell ref="J30:L30"/>
    <mergeCell ref="J31:L31"/>
    <mergeCell ref="K7:K9"/>
    <mergeCell ref="H8:H9"/>
    <mergeCell ref="A7:A9"/>
    <mergeCell ref="B7:B9"/>
    <mergeCell ref="C7:C9"/>
    <mergeCell ref="D7:H7"/>
    <mergeCell ref="J7:J9"/>
    <mergeCell ref="D8:D9"/>
    <mergeCell ref="E8:G8"/>
    <mergeCell ref="I7:I9"/>
  </mergeCells>
  <phoneticPr fontId="0" type="noConversion"/>
  <printOptions horizontalCentered="1"/>
  <pageMargins left="0.70866141732283472" right="0.70866141732283472" top="0.63" bottom="0" header="0.79" footer="0.31496062992125984"/>
  <pageSetup paperSize="9" scale="95"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R56"/>
  <sheetViews>
    <sheetView view="pageBreakPreview" topLeftCell="D43" zoomScaleNormal="70" zoomScaleSheetLayoutView="100" workbookViewId="0">
      <selection activeCell="E13" sqref="E13"/>
    </sheetView>
  </sheetViews>
  <sheetFormatPr defaultColWidth="9.28515625" defaultRowHeight="12.75"/>
  <cols>
    <col min="1" max="1" width="5.42578125" style="222" customWidth="1"/>
    <col min="2" max="2" width="15.7109375" style="222" customWidth="1"/>
    <col min="3" max="3" width="10.28515625" style="222" customWidth="1"/>
    <col min="4" max="4" width="8.42578125" style="222" customWidth="1"/>
    <col min="5" max="6" width="9.7109375" style="222" customWidth="1"/>
    <col min="7" max="7" width="10.7109375" style="222" customWidth="1"/>
    <col min="8" max="8" width="12.7109375" style="222" customWidth="1"/>
    <col min="9" max="9" width="8.7109375" style="214" customWidth="1"/>
    <col min="10" max="10" width="9.28515625" style="214" customWidth="1"/>
    <col min="11" max="11" width="9.42578125" style="214" customWidth="1"/>
    <col min="12" max="14" width="8.28515625" style="214" customWidth="1"/>
    <col min="15" max="15" width="8.42578125" style="214" customWidth="1"/>
    <col min="16" max="16" width="8.28515625" style="214" customWidth="1"/>
    <col min="17" max="17" width="8.7109375" style="214" customWidth="1"/>
    <col min="18" max="18" width="8.28515625" style="214" customWidth="1"/>
    <col min="19" max="16384" width="9.28515625" style="214"/>
  </cols>
  <sheetData>
    <row r="1" spans="1:18" ht="12.75" customHeight="1">
      <c r="G1" s="1512"/>
      <c r="H1" s="1512"/>
      <c r="I1" s="1512"/>
      <c r="J1" s="222"/>
      <c r="K1" s="222"/>
      <c r="L1" s="222"/>
      <c r="M1" s="222"/>
      <c r="N1" s="222"/>
      <c r="O1" s="222"/>
      <c r="P1" s="222"/>
      <c r="Q1" s="1514" t="s">
        <v>534</v>
      </c>
      <c r="R1" s="1514"/>
    </row>
    <row r="2" spans="1:18" ht="15.75">
      <c r="A2" s="1523" t="s">
        <v>0</v>
      </c>
      <c r="B2" s="1523"/>
      <c r="C2" s="1523"/>
      <c r="D2" s="1523"/>
      <c r="E2" s="1523"/>
      <c r="F2" s="1523"/>
      <c r="G2" s="1523"/>
      <c r="H2" s="1523"/>
      <c r="I2" s="1523"/>
      <c r="J2" s="1523"/>
      <c r="K2" s="1523"/>
      <c r="L2" s="1523"/>
      <c r="M2" s="1523"/>
      <c r="N2" s="1523"/>
      <c r="O2" s="1523"/>
      <c r="P2" s="1523"/>
      <c r="Q2" s="1523"/>
      <c r="R2" s="1523"/>
    </row>
    <row r="3" spans="1:18" ht="18">
      <c r="A3" s="1524" t="s">
        <v>636</v>
      </c>
      <c r="B3" s="1524"/>
      <c r="C3" s="1524"/>
      <c r="D3" s="1524"/>
      <c r="E3" s="1524"/>
      <c r="F3" s="1524"/>
      <c r="G3" s="1524"/>
      <c r="H3" s="1524"/>
      <c r="I3" s="1524"/>
      <c r="J3" s="1524"/>
      <c r="K3" s="1524"/>
      <c r="L3" s="1524"/>
      <c r="M3" s="1524"/>
      <c r="N3" s="1524"/>
      <c r="O3" s="1524"/>
      <c r="P3" s="1524"/>
      <c r="Q3" s="1524"/>
      <c r="R3" s="1524"/>
    </row>
    <row r="4" spans="1:18" ht="12.75" customHeight="1">
      <c r="A4" s="1526" t="s">
        <v>713</v>
      </c>
      <c r="B4" s="1526"/>
      <c r="C4" s="1526"/>
      <c r="D4" s="1526"/>
      <c r="E4" s="1526"/>
      <c r="F4" s="1526"/>
      <c r="G4" s="1526"/>
      <c r="H4" s="1526"/>
      <c r="I4" s="1526"/>
      <c r="J4" s="1526"/>
      <c r="K4" s="1526"/>
      <c r="L4" s="1526"/>
      <c r="M4" s="1526"/>
      <c r="N4" s="1526"/>
      <c r="O4" s="1526"/>
      <c r="P4" s="1526"/>
      <c r="Q4" s="1526"/>
      <c r="R4" s="1526"/>
    </row>
    <row r="5" spans="1:18" s="215" customFormat="1" ht="7.5" customHeight="1">
      <c r="A5" s="1526"/>
      <c r="B5" s="1526"/>
      <c r="C5" s="1526"/>
      <c r="D5" s="1526"/>
      <c r="E5" s="1526"/>
      <c r="F5" s="1526"/>
      <c r="G5" s="1526"/>
      <c r="H5" s="1526"/>
      <c r="I5" s="1526"/>
      <c r="J5" s="1526"/>
      <c r="K5" s="1526"/>
      <c r="L5" s="1526"/>
      <c r="M5" s="1526"/>
      <c r="N5" s="1526"/>
      <c r="O5" s="1526"/>
      <c r="P5" s="1526"/>
      <c r="Q5" s="1526"/>
      <c r="R5" s="1526"/>
    </row>
    <row r="6" spans="1:18">
      <c r="A6" s="1513"/>
      <c r="B6" s="1513"/>
      <c r="C6" s="1513"/>
      <c r="D6" s="1513"/>
      <c r="E6" s="1513"/>
      <c r="F6" s="1513"/>
      <c r="G6" s="1513"/>
      <c r="H6" s="1513"/>
      <c r="I6" s="1513"/>
      <c r="J6" s="1513"/>
      <c r="K6" s="1513"/>
      <c r="L6" s="1513"/>
      <c r="M6" s="1513"/>
      <c r="N6" s="1513"/>
      <c r="O6" s="1513"/>
      <c r="P6" s="1513"/>
      <c r="Q6" s="1513"/>
      <c r="R6" s="1513"/>
    </row>
    <row r="7" spans="1:18">
      <c r="A7" s="1520" t="s">
        <v>1047</v>
      </c>
      <c r="B7" s="1520"/>
      <c r="H7" s="283"/>
      <c r="I7" s="222"/>
      <c r="J7" s="222"/>
      <c r="K7" s="222"/>
      <c r="L7" s="1515"/>
      <c r="M7" s="1515"/>
      <c r="N7" s="1515"/>
      <c r="O7" s="1515"/>
      <c r="P7" s="1515"/>
      <c r="Q7" s="1515"/>
      <c r="R7" s="1515"/>
    </row>
    <row r="8" spans="1:18" ht="24.75" customHeight="1">
      <c r="A8" s="1516" t="s">
        <v>2</v>
      </c>
      <c r="B8" s="1516" t="s">
        <v>3</v>
      </c>
      <c r="C8" s="1517" t="s">
        <v>488</v>
      </c>
      <c r="D8" s="1518"/>
      <c r="E8" s="1518"/>
      <c r="F8" s="1518"/>
      <c r="G8" s="1519"/>
      <c r="H8" s="1521" t="s">
        <v>84</v>
      </c>
      <c r="I8" s="1517" t="s">
        <v>85</v>
      </c>
      <c r="J8" s="1518"/>
      <c r="K8" s="1518"/>
      <c r="L8" s="1519"/>
      <c r="M8" s="1517" t="s">
        <v>707</v>
      </c>
      <c r="N8" s="1518"/>
      <c r="O8" s="1518"/>
      <c r="P8" s="1518"/>
      <c r="Q8" s="1518"/>
      <c r="R8" s="1518"/>
    </row>
    <row r="9" spans="1:18" ht="44.45" customHeight="1">
      <c r="A9" s="1516"/>
      <c r="B9" s="1516"/>
      <c r="C9" s="281" t="s">
        <v>5</v>
      </c>
      <c r="D9" s="281" t="s">
        <v>6</v>
      </c>
      <c r="E9" s="281" t="s">
        <v>356</v>
      </c>
      <c r="F9" s="282" t="s">
        <v>99</v>
      </c>
      <c r="G9" s="282" t="s">
        <v>232</v>
      </c>
      <c r="H9" s="1522"/>
      <c r="I9" s="281" t="s">
        <v>959</v>
      </c>
      <c r="J9" s="281" t="s">
        <v>960</v>
      </c>
      <c r="K9" s="281" t="s">
        <v>961</v>
      </c>
      <c r="L9" s="281" t="s">
        <v>962</v>
      </c>
      <c r="M9" s="281" t="s">
        <v>18</v>
      </c>
      <c r="N9" s="281" t="s">
        <v>708</v>
      </c>
      <c r="O9" s="281" t="s">
        <v>709</v>
      </c>
      <c r="P9" s="281" t="s">
        <v>710</v>
      </c>
      <c r="Q9" s="281" t="s">
        <v>711</v>
      </c>
      <c r="R9" s="281" t="s">
        <v>712</v>
      </c>
    </row>
    <row r="10" spans="1:18" s="216" customFormat="1">
      <c r="A10" s="281">
        <v>1</v>
      </c>
      <c r="B10" s="281">
        <v>2</v>
      </c>
      <c r="C10" s="281">
        <v>3</v>
      </c>
      <c r="D10" s="281">
        <v>4</v>
      </c>
      <c r="E10" s="281">
        <v>5</v>
      </c>
      <c r="F10" s="281">
        <v>6</v>
      </c>
      <c r="G10" s="281">
        <v>7</v>
      </c>
      <c r="H10" s="281">
        <v>8</v>
      </c>
      <c r="I10" s="281">
        <v>9</v>
      </c>
      <c r="J10" s="281">
        <v>10</v>
      </c>
      <c r="K10" s="281">
        <v>11</v>
      </c>
      <c r="L10" s="281">
        <v>12</v>
      </c>
      <c r="M10" s="281">
        <v>13</v>
      </c>
      <c r="N10" s="281">
        <v>14</v>
      </c>
      <c r="O10" s="281">
        <v>15</v>
      </c>
      <c r="P10" s="281">
        <v>16</v>
      </c>
      <c r="Q10" s="281">
        <v>17</v>
      </c>
      <c r="R10" s="281">
        <v>18</v>
      </c>
    </row>
    <row r="11" spans="1:18" s="216" customFormat="1">
      <c r="A11" s="5">
        <v>1</v>
      </c>
      <c r="B11" s="137" t="s">
        <v>825</v>
      </c>
      <c r="C11" s="598">
        <v>150067</v>
      </c>
      <c r="D11" s="598">
        <v>0</v>
      </c>
      <c r="E11" s="598">
        <v>0</v>
      </c>
      <c r="F11" s="598">
        <v>0</v>
      </c>
      <c r="G11" s="598">
        <f>C11+D11+E11+F11</f>
        <v>150067</v>
      </c>
      <c r="H11" s="599">
        <v>248</v>
      </c>
      <c r="I11" s="600">
        <f>J11+K11</f>
        <v>3721.6615999999999</v>
      </c>
      <c r="J11" s="600">
        <f>G11*248*50/1000000</f>
        <v>1860.8308</v>
      </c>
      <c r="K11" s="600">
        <f>G11*H11*50/1000000</f>
        <v>1860.8308</v>
      </c>
      <c r="L11" s="281">
        <v>0</v>
      </c>
      <c r="M11" s="281"/>
      <c r="N11" s="281"/>
      <c r="O11" s="281"/>
      <c r="P11" s="281"/>
      <c r="Q11" s="281"/>
      <c r="R11" s="281"/>
    </row>
    <row r="12" spans="1:18" s="216" customFormat="1">
      <c r="A12" s="5">
        <v>2</v>
      </c>
      <c r="B12" s="137" t="s">
        <v>826</v>
      </c>
      <c r="C12" s="598">
        <v>59418.75</v>
      </c>
      <c r="D12" s="598">
        <v>0</v>
      </c>
      <c r="E12" s="598">
        <v>0</v>
      </c>
      <c r="F12" s="598">
        <v>0</v>
      </c>
      <c r="G12" s="598">
        <f t="shared" ref="G12:G43" si="0">C12+D12+E12+F12</f>
        <v>59418.75</v>
      </c>
      <c r="H12" s="599">
        <v>248</v>
      </c>
      <c r="I12" s="600">
        <f t="shared" ref="I12:I43" si="1">J12+K12</f>
        <v>1473.585</v>
      </c>
      <c r="J12" s="600">
        <f t="shared" ref="J12:J43" si="2">G12*248*50/1000000</f>
        <v>736.79250000000002</v>
      </c>
      <c r="K12" s="600">
        <f t="shared" ref="K12:K44" si="3">G12*H12*50/1000000</f>
        <v>736.79250000000002</v>
      </c>
      <c r="L12" s="281">
        <v>0</v>
      </c>
      <c r="M12" s="281"/>
      <c r="N12" s="281"/>
      <c r="O12" s="281"/>
      <c r="P12" s="281"/>
      <c r="Q12" s="281"/>
      <c r="R12" s="281"/>
    </row>
    <row r="13" spans="1:18" s="216" customFormat="1">
      <c r="A13" s="5">
        <v>3</v>
      </c>
      <c r="B13" s="137" t="s">
        <v>827</v>
      </c>
      <c r="C13" s="598">
        <v>110633</v>
      </c>
      <c r="D13" s="598">
        <v>0</v>
      </c>
      <c r="E13" s="598">
        <v>0</v>
      </c>
      <c r="F13" s="598">
        <v>0</v>
      </c>
      <c r="G13" s="598">
        <f t="shared" si="0"/>
        <v>110633</v>
      </c>
      <c r="H13" s="599">
        <v>248</v>
      </c>
      <c r="I13" s="600">
        <f t="shared" si="1"/>
        <v>2743.6984000000002</v>
      </c>
      <c r="J13" s="600">
        <f t="shared" si="2"/>
        <v>1371.8492000000001</v>
      </c>
      <c r="K13" s="600">
        <f t="shared" si="3"/>
        <v>1371.8492000000001</v>
      </c>
      <c r="L13" s="281">
        <v>0</v>
      </c>
      <c r="M13" s="281"/>
      <c r="N13" s="281"/>
      <c r="O13" s="281"/>
      <c r="P13" s="281"/>
      <c r="Q13" s="281"/>
      <c r="R13" s="281"/>
    </row>
    <row r="14" spans="1:18" s="216" customFormat="1">
      <c r="A14" s="5">
        <v>4</v>
      </c>
      <c r="B14" s="137" t="s">
        <v>828</v>
      </c>
      <c r="C14" s="598">
        <v>88983.75</v>
      </c>
      <c r="D14" s="598">
        <v>2411</v>
      </c>
      <c r="E14" s="598">
        <v>0</v>
      </c>
      <c r="F14" s="598">
        <v>0</v>
      </c>
      <c r="G14" s="598">
        <f t="shared" si="0"/>
        <v>91394.75</v>
      </c>
      <c r="H14" s="599">
        <v>248</v>
      </c>
      <c r="I14" s="600">
        <f t="shared" si="1"/>
        <v>2266.5898000000002</v>
      </c>
      <c r="J14" s="600">
        <f t="shared" si="2"/>
        <v>1133.2949000000001</v>
      </c>
      <c r="K14" s="600">
        <f t="shared" si="3"/>
        <v>1133.2949000000001</v>
      </c>
      <c r="L14" s="281">
        <v>0</v>
      </c>
      <c r="M14" s="281"/>
      <c r="N14" s="281"/>
      <c r="O14" s="281"/>
      <c r="P14" s="281"/>
      <c r="Q14" s="281"/>
      <c r="R14" s="281"/>
    </row>
    <row r="15" spans="1:18" s="216" customFormat="1">
      <c r="A15" s="5">
        <v>5</v>
      </c>
      <c r="B15" s="137" t="s">
        <v>829</v>
      </c>
      <c r="C15" s="598">
        <v>226385.75</v>
      </c>
      <c r="D15" s="598">
        <v>365.75</v>
      </c>
      <c r="E15" s="598">
        <v>1106.75</v>
      </c>
      <c r="F15" s="598">
        <v>0</v>
      </c>
      <c r="G15" s="598">
        <f t="shared" si="0"/>
        <v>227858.25</v>
      </c>
      <c r="H15" s="599">
        <v>248</v>
      </c>
      <c r="I15" s="600">
        <f t="shared" si="1"/>
        <v>5650.8846000000003</v>
      </c>
      <c r="J15" s="600">
        <f t="shared" si="2"/>
        <v>2825.4423000000002</v>
      </c>
      <c r="K15" s="600">
        <f t="shared" si="3"/>
        <v>2825.4423000000002</v>
      </c>
      <c r="L15" s="281">
        <v>0</v>
      </c>
      <c r="M15" s="281"/>
      <c r="N15" s="281"/>
      <c r="O15" s="281"/>
      <c r="P15" s="281"/>
      <c r="Q15" s="281"/>
      <c r="R15" s="281"/>
    </row>
    <row r="16" spans="1:18" s="216" customFormat="1">
      <c r="A16" s="5">
        <v>6</v>
      </c>
      <c r="B16" s="137" t="s">
        <v>830</v>
      </c>
      <c r="C16" s="598">
        <v>59654</v>
      </c>
      <c r="D16" s="598">
        <v>0</v>
      </c>
      <c r="E16" s="598">
        <v>0</v>
      </c>
      <c r="F16" s="598">
        <v>0</v>
      </c>
      <c r="G16" s="598">
        <f t="shared" si="0"/>
        <v>59654</v>
      </c>
      <c r="H16" s="599">
        <v>248</v>
      </c>
      <c r="I16" s="600">
        <f t="shared" si="1"/>
        <v>1479.4192</v>
      </c>
      <c r="J16" s="600">
        <f t="shared" si="2"/>
        <v>739.70960000000002</v>
      </c>
      <c r="K16" s="600">
        <f t="shared" si="3"/>
        <v>739.70960000000002</v>
      </c>
      <c r="L16" s="281">
        <v>0</v>
      </c>
      <c r="M16" s="281"/>
      <c r="N16" s="281"/>
      <c r="O16" s="281"/>
      <c r="P16" s="281"/>
      <c r="Q16" s="281"/>
      <c r="R16" s="281"/>
    </row>
    <row r="17" spans="1:18" s="216" customFormat="1">
      <c r="A17" s="5">
        <v>7</v>
      </c>
      <c r="B17" s="137" t="s">
        <v>831</v>
      </c>
      <c r="C17" s="598">
        <v>49417</v>
      </c>
      <c r="D17" s="598">
        <v>0</v>
      </c>
      <c r="E17" s="598">
        <v>0</v>
      </c>
      <c r="F17" s="598">
        <v>0</v>
      </c>
      <c r="G17" s="598">
        <f t="shared" si="0"/>
        <v>49417</v>
      </c>
      <c r="H17" s="599">
        <v>248</v>
      </c>
      <c r="I17" s="600">
        <f t="shared" si="1"/>
        <v>1225.5416</v>
      </c>
      <c r="J17" s="600">
        <f t="shared" si="2"/>
        <v>612.77080000000001</v>
      </c>
      <c r="K17" s="600">
        <f t="shared" si="3"/>
        <v>612.77080000000001</v>
      </c>
      <c r="L17" s="281">
        <v>0</v>
      </c>
      <c r="M17" s="281"/>
      <c r="N17" s="281"/>
      <c r="O17" s="281"/>
      <c r="P17" s="281"/>
      <c r="Q17" s="281"/>
      <c r="R17" s="281"/>
    </row>
    <row r="18" spans="1:18" s="216" customFormat="1">
      <c r="A18" s="5">
        <v>8</v>
      </c>
      <c r="B18" s="137" t="s">
        <v>832</v>
      </c>
      <c r="C18" s="598">
        <v>106885.5</v>
      </c>
      <c r="D18" s="598">
        <v>0</v>
      </c>
      <c r="E18" s="598">
        <v>0</v>
      </c>
      <c r="F18" s="598">
        <v>0</v>
      </c>
      <c r="G18" s="598">
        <f t="shared" si="0"/>
        <v>106885.5</v>
      </c>
      <c r="H18" s="599">
        <v>248</v>
      </c>
      <c r="I18" s="600">
        <f t="shared" si="1"/>
        <v>2650.7604000000001</v>
      </c>
      <c r="J18" s="600">
        <f t="shared" si="2"/>
        <v>1325.3802000000001</v>
      </c>
      <c r="K18" s="600">
        <f t="shared" si="3"/>
        <v>1325.3802000000001</v>
      </c>
      <c r="L18" s="281">
        <v>0</v>
      </c>
      <c r="M18" s="281"/>
      <c r="N18" s="281"/>
      <c r="O18" s="281"/>
      <c r="P18" s="281"/>
      <c r="Q18" s="281"/>
      <c r="R18" s="281"/>
    </row>
    <row r="19" spans="1:18" s="216" customFormat="1">
      <c r="A19" s="5">
        <v>9</v>
      </c>
      <c r="B19" s="137" t="s">
        <v>833</v>
      </c>
      <c r="C19" s="598">
        <v>124546.75</v>
      </c>
      <c r="D19" s="598">
        <v>1485.5</v>
      </c>
      <c r="E19" s="598">
        <v>0</v>
      </c>
      <c r="F19" s="598">
        <v>0</v>
      </c>
      <c r="G19" s="598">
        <f t="shared" si="0"/>
        <v>126032.25</v>
      </c>
      <c r="H19" s="599">
        <v>248</v>
      </c>
      <c r="I19" s="600">
        <f t="shared" si="1"/>
        <v>3125.5998</v>
      </c>
      <c r="J19" s="600">
        <f t="shared" si="2"/>
        <v>1562.7999</v>
      </c>
      <c r="K19" s="600">
        <f t="shared" si="3"/>
        <v>1562.7999</v>
      </c>
      <c r="L19" s="281">
        <v>0</v>
      </c>
      <c r="M19" s="281"/>
      <c r="N19" s="281"/>
      <c r="O19" s="281"/>
      <c r="P19" s="281"/>
      <c r="Q19" s="281"/>
      <c r="R19" s="281"/>
    </row>
    <row r="20" spans="1:18" s="216" customFormat="1">
      <c r="A20" s="5">
        <v>10</v>
      </c>
      <c r="B20" s="137" t="s">
        <v>834</v>
      </c>
      <c r="C20" s="598">
        <v>28094.75</v>
      </c>
      <c r="D20" s="598">
        <v>0</v>
      </c>
      <c r="E20" s="598">
        <v>0</v>
      </c>
      <c r="F20" s="598">
        <v>0</v>
      </c>
      <c r="G20" s="598">
        <f t="shared" si="0"/>
        <v>28094.75</v>
      </c>
      <c r="H20" s="599">
        <v>248</v>
      </c>
      <c r="I20" s="600">
        <f t="shared" si="1"/>
        <v>696.74980000000005</v>
      </c>
      <c r="J20" s="600">
        <f t="shared" si="2"/>
        <v>348.37490000000003</v>
      </c>
      <c r="K20" s="600">
        <f t="shared" si="3"/>
        <v>348.37490000000003</v>
      </c>
      <c r="L20" s="281">
        <v>0</v>
      </c>
      <c r="M20" s="281"/>
      <c r="N20" s="281"/>
      <c r="O20" s="281"/>
      <c r="P20" s="281"/>
      <c r="Q20" s="281"/>
      <c r="R20" s="281"/>
    </row>
    <row r="21" spans="1:18" s="216" customFormat="1">
      <c r="A21" s="5">
        <v>11</v>
      </c>
      <c r="B21" s="137" t="s">
        <v>835</v>
      </c>
      <c r="C21" s="598">
        <v>61129.5</v>
      </c>
      <c r="D21" s="598">
        <v>1180</v>
      </c>
      <c r="E21" s="598">
        <v>0</v>
      </c>
      <c r="F21" s="598">
        <v>0</v>
      </c>
      <c r="G21" s="598">
        <f t="shared" si="0"/>
        <v>62309.5</v>
      </c>
      <c r="H21" s="599">
        <v>248</v>
      </c>
      <c r="I21" s="600">
        <f t="shared" si="1"/>
        <v>1545.2755999999999</v>
      </c>
      <c r="J21" s="600">
        <f t="shared" si="2"/>
        <v>772.63779999999997</v>
      </c>
      <c r="K21" s="600">
        <f t="shared" si="3"/>
        <v>772.63779999999997</v>
      </c>
      <c r="L21" s="281">
        <v>0</v>
      </c>
      <c r="M21" s="281"/>
      <c r="N21" s="281"/>
      <c r="O21" s="281"/>
      <c r="P21" s="281"/>
      <c r="Q21" s="281"/>
      <c r="R21" s="281"/>
    </row>
    <row r="22" spans="1:18" s="216" customFormat="1">
      <c r="A22" s="5">
        <v>12</v>
      </c>
      <c r="B22" s="137" t="s">
        <v>836</v>
      </c>
      <c r="C22" s="598">
        <v>118505.5</v>
      </c>
      <c r="D22" s="598">
        <v>0</v>
      </c>
      <c r="E22" s="598">
        <v>0</v>
      </c>
      <c r="F22" s="598">
        <v>0</v>
      </c>
      <c r="G22" s="598">
        <f t="shared" si="0"/>
        <v>118505.5</v>
      </c>
      <c r="H22" s="599">
        <v>248</v>
      </c>
      <c r="I22" s="600">
        <f t="shared" si="1"/>
        <v>2938.9364</v>
      </c>
      <c r="J22" s="600">
        <f t="shared" si="2"/>
        <v>1469.4682</v>
      </c>
      <c r="K22" s="600">
        <f t="shared" si="3"/>
        <v>1469.4682</v>
      </c>
      <c r="L22" s="281">
        <v>0</v>
      </c>
      <c r="M22" s="281"/>
      <c r="N22" s="281"/>
      <c r="O22" s="281"/>
      <c r="P22" s="281"/>
      <c r="Q22" s="281"/>
      <c r="R22" s="281"/>
    </row>
    <row r="23" spans="1:18" s="216" customFormat="1">
      <c r="A23" s="5">
        <v>13</v>
      </c>
      <c r="B23" s="137" t="s">
        <v>837</v>
      </c>
      <c r="C23" s="598">
        <v>196002.25</v>
      </c>
      <c r="D23" s="598">
        <v>1319</v>
      </c>
      <c r="E23" s="598">
        <v>0</v>
      </c>
      <c r="F23" s="598">
        <v>0</v>
      </c>
      <c r="G23" s="598">
        <f t="shared" si="0"/>
        <v>197321.25</v>
      </c>
      <c r="H23" s="599">
        <v>248</v>
      </c>
      <c r="I23" s="600">
        <f t="shared" si="1"/>
        <v>4893.567</v>
      </c>
      <c r="J23" s="600">
        <f t="shared" si="2"/>
        <v>2446.7835</v>
      </c>
      <c r="K23" s="600">
        <f t="shared" si="3"/>
        <v>2446.7835</v>
      </c>
      <c r="L23" s="281">
        <v>0</v>
      </c>
      <c r="M23" s="281"/>
      <c r="N23" s="281"/>
      <c r="O23" s="281"/>
      <c r="P23" s="281"/>
      <c r="Q23" s="281"/>
      <c r="R23" s="281"/>
    </row>
    <row r="24" spans="1:18" s="216" customFormat="1">
      <c r="A24" s="5">
        <v>14</v>
      </c>
      <c r="B24" s="137" t="s">
        <v>838</v>
      </c>
      <c r="C24" s="598">
        <v>50966</v>
      </c>
      <c r="D24" s="598">
        <v>1095.75</v>
      </c>
      <c r="E24" s="598">
        <v>0</v>
      </c>
      <c r="F24" s="598">
        <v>0</v>
      </c>
      <c r="G24" s="598">
        <f t="shared" si="0"/>
        <v>52061.75</v>
      </c>
      <c r="H24" s="599">
        <v>248</v>
      </c>
      <c r="I24" s="600">
        <f t="shared" si="1"/>
        <v>1291.1314</v>
      </c>
      <c r="J24" s="600">
        <f t="shared" si="2"/>
        <v>645.56569999999999</v>
      </c>
      <c r="K24" s="600">
        <f t="shared" si="3"/>
        <v>645.56569999999999</v>
      </c>
      <c r="L24" s="281">
        <v>0</v>
      </c>
      <c r="M24" s="281"/>
      <c r="N24" s="281"/>
      <c r="O24" s="281"/>
      <c r="P24" s="281"/>
      <c r="Q24" s="281"/>
      <c r="R24" s="281"/>
    </row>
    <row r="25" spans="1:18" s="216" customFormat="1">
      <c r="A25" s="5">
        <v>15</v>
      </c>
      <c r="B25" s="137" t="s">
        <v>839</v>
      </c>
      <c r="C25" s="598">
        <v>41975.5</v>
      </c>
      <c r="D25" s="598">
        <v>0</v>
      </c>
      <c r="E25" s="598">
        <v>0</v>
      </c>
      <c r="F25" s="598">
        <v>0</v>
      </c>
      <c r="G25" s="598">
        <f t="shared" si="0"/>
        <v>41975.5</v>
      </c>
      <c r="H25" s="599">
        <v>248</v>
      </c>
      <c r="I25" s="600">
        <f t="shared" si="1"/>
        <v>1040.9924000000001</v>
      </c>
      <c r="J25" s="600">
        <f t="shared" si="2"/>
        <v>520.49620000000004</v>
      </c>
      <c r="K25" s="600">
        <f t="shared" si="3"/>
        <v>520.49620000000004</v>
      </c>
      <c r="L25" s="281">
        <v>0</v>
      </c>
      <c r="M25" s="281"/>
      <c r="N25" s="281"/>
      <c r="O25" s="281"/>
      <c r="P25" s="281"/>
      <c r="Q25" s="281"/>
      <c r="R25" s="281"/>
    </row>
    <row r="26" spans="1:18">
      <c r="A26" s="5">
        <v>16</v>
      </c>
      <c r="B26" s="137" t="s">
        <v>840</v>
      </c>
      <c r="C26" s="601">
        <v>22379.25</v>
      </c>
      <c r="D26" s="601">
        <v>0</v>
      </c>
      <c r="E26" s="601">
        <v>0</v>
      </c>
      <c r="F26" s="601">
        <v>0</v>
      </c>
      <c r="G26" s="598">
        <f t="shared" si="0"/>
        <v>22379.25</v>
      </c>
      <c r="H26" s="599">
        <v>248</v>
      </c>
      <c r="I26" s="600">
        <f t="shared" si="1"/>
        <v>555.00540000000001</v>
      </c>
      <c r="J26" s="600">
        <f t="shared" si="2"/>
        <v>277.5027</v>
      </c>
      <c r="K26" s="600">
        <f t="shared" si="3"/>
        <v>277.5027</v>
      </c>
      <c r="L26" s="281">
        <v>0</v>
      </c>
      <c r="M26" s="224"/>
      <c r="N26" s="224"/>
      <c r="O26" s="224"/>
      <c r="P26" s="224"/>
      <c r="Q26" s="224"/>
      <c r="R26" s="224"/>
    </row>
    <row r="27" spans="1:18">
      <c r="A27" s="5">
        <v>17</v>
      </c>
      <c r="B27" s="602" t="s">
        <v>841</v>
      </c>
      <c r="C27" s="601">
        <v>94532.5</v>
      </c>
      <c r="D27" s="601">
        <v>0</v>
      </c>
      <c r="E27" s="601">
        <v>0</v>
      </c>
      <c r="F27" s="601">
        <v>0</v>
      </c>
      <c r="G27" s="598">
        <f t="shared" si="0"/>
        <v>94532.5</v>
      </c>
      <c r="H27" s="599">
        <v>248</v>
      </c>
      <c r="I27" s="600">
        <f t="shared" si="1"/>
        <v>2344.4059999999999</v>
      </c>
      <c r="J27" s="600">
        <f t="shared" si="2"/>
        <v>1172.203</v>
      </c>
      <c r="K27" s="600">
        <f t="shared" si="3"/>
        <v>1172.203</v>
      </c>
      <c r="L27" s="281">
        <v>0</v>
      </c>
      <c r="M27" s="224"/>
      <c r="N27" s="224"/>
      <c r="O27" s="224"/>
      <c r="P27" s="224"/>
      <c r="Q27" s="224"/>
      <c r="R27" s="224"/>
    </row>
    <row r="28" spans="1:18">
      <c r="A28" s="5">
        <v>18</v>
      </c>
      <c r="B28" s="602" t="s">
        <v>842</v>
      </c>
      <c r="C28" s="601">
        <v>88433</v>
      </c>
      <c r="D28" s="601">
        <v>1341</v>
      </c>
      <c r="E28" s="601">
        <v>0</v>
      </c>
      <c r="F28" s="601">
        <v>0</v>
      </c>
      <c r="G28" s="598">
        <f t="shared" si="0"/>
        <v>89774</v>
      </c>
      <c r="H28" s="599">
        <v>248</v>
      </c>
      <c r="I28" s="600">
        <f t="shared" si="1"/>
        <v>2226.3951999999999</v>
      </c>
      <c r="J28" s="600">
        <f t="shared" si="2"/>
        <v>1113.1976</v>
      </c>
      <c r="K28" s="600">
        <f t="shared" si="3"/>
        <v>1113.1976</v>
      </c>
      <c r="L28" s="281">
        <v>0</v>
      </c>
      <c r="M28" s="224"/>
      <c r="N28" s="224"/>
      <c r="O28" s="224"/>
      <c r="P28" s="224"/>
      <c r="Q28" s="224"/>
      <c r="R28" s="224"/>
    </row>
    <row r="29" spans="1:18">
      <c r="A29" s="5">
        <v>19</v>
      </c>
      <c r="B29" s="602" t="s">
        <v>843</v>
      </c>
      <c r="C29" s="601">
        <v>79946.25</v>
      </c>
      <c r="D29" s="601">
        <v>0</v>
      </c>
      <c r="E29" s="601">
        <v>0</v>
      </c>
      <c r="F29" s="601">
        <v>0</v>
      </c>
      <c r="G29" s="598">
        <f t="shared" si="0"/>
        <v>79946.25</v>
      </c>
      <c r="H29" s="599">
        <v>248</v>
      </c>
      <c r="I29" s="600">
        <f t="shared" si="1"/>
        <v>1982.6669999999999</v>
      </c>
      <c r="J29" s="600">
        <f t="shared" si="2"/>
        <v>991.33349999999996</v>
      </c>
      <c r="K29" s="600">
        <f t="shared" si="3"/>
        <v>991.33349999999996</v>
      </c>
      <c r="L29" s="281">
        <v>0</v>
      </c>
      <c r="M29" s="224"/>
      <c r="N29" s="224"/>
      <c r="O29" s="224"/>
      <c r="P29" s="224"/>
      <c r="Q29" s="224"/>
      <c r="R29" s="224"/>
    </row>
    <row r="30" spans="1:18">
      <c r="A30" s="5">
        <v>20</v>
      </c>
      <c r="B30" s="602" t="s">
        <v>844</v>
      </c>
      <c r="C30" s="601">
        <v>85949.75</v>
      </c>
      <c r="D30" s="601">
        <v>258</v>
      </c>
      <c r="E30" s="601">
        <v>0</v>
      </c>
      <c r="F30" s="601">
        <v>0</v>
      </c>
      <c r="G30" s="598">
        <f t="shared" si="0"/>
        <v>86207.75</v>
      </c>
      <c r="H30" s="599">
        <v>248</v>
      </c>
      <c r="I30" s="600">
        <f t="shared" si="1"/>
        <v>2137.9522000000002</v>
      </c>
      <c r="J30" s="600">
        <f t="shared" si="2"/>
        <v>1068.9761000000001</v>
      </c>
      <c r="K30" s="600">
        <f t="shared" si="3"/>
        <v>1068.9761000000001</v>
      </c>
      <c r="L30" s="281">
        <v>0</v>
      </c>
      <c r="M30" s="224"/>
      <c r="N30" s="224"/>
      <c r="O30" s="224"/>
      <c r="P30" s="224"/>
      <c r="Q30" s="224"/>
      <c r="R30" s="224"/>
    </row>
    <row r="31" spans="1:18">
      <c r="A31" s="5">
        <v>21</v>
      </c>
      <c r="B31" s="602" t="s">
        <v>845</v>
      </c>
      <c r="C31" s="601">
        <v>115263.75</v>
      </c>
      <c r="D31" s="601">
        <v>1512.5</v>
      </c>
      <c r="E31" s="601">
        <v>158.25</v>
      </c>
      <c r="F31" s="601">
        <v>248</v>
      </c>
      <c r="G31" s="598">
        <f t="shared" si="0"/>
        <v>117182.5</v>
      </c>
      <c r="H31" s="599">
        <v>248</v>
      </c>
      <c r="I31" s="600">
        <f t="shared" si="1"/>
        <v>2906.1260000000002</v>
      </c>
      <c r="J31" s="600">
        <f t="shared" si="2"/>
        <v>1453.0630000000001</v>
      </c>
      <c r="K31" s="600">
        <f t="shared" si="3"/>
        <v>1453.0630000000001</v>
      </c>
      <c r="L31" s="281">
        <v>0</v>
      </c>
      <c r="M31" s="224"/>
      <c r="N31" s="224"/>
      <c r="O31" s="224"/>
      <c r="P31" s="224"/>
      <c r="Q31" s="224"/>
      <c r="R31" s="224"/>
    </row>
    <row r="32" spans="1:18">
      <c r="A32" s="5">
        <v>22</v>
      </c>
      <c r="B32" s="602" t="s">
        <v>846</v>
      </c>
      <c r="C32" s="601">
        <v>67608</v>
      </c>
      <c r="D32" s="601">
        <v>212.25</v>
      </c>
      <c r="E32" s="601">
        <v>0</v>
      </c>
      <c r="F32" s="601">
        <v>0</v>
      </c>
      <c r="G32" s="598">
        <f t="shared" si="0"/>
        <v>67820.25</v>
      </c>
      <c r="H32" s="599">
        <v>248</v>
      </c>
      <c r="I32" s="600">
        <f t="shared" si="1"/>
        <v>1681.9422</v>
      </c>
      <c r="J32" s="600">
        <f t="shared" si="2"/>
        <v>840.97109999999998</v>
      </c>
      <c r="K32" s="600">
        <f t="shared" si="3"/>
        <v>840.97109999999998</v>
      </c>
      <c r="L32" s="281">
        <v>0</v>
      </c>
      <c r="M32" s="224"/>
      <c r="N32" s="224"/>
      <c r="O32" s="224"/>
      <c r="P32" s="224"/>
      <c r="Q32" s="224"/>
      <c r="R32" s="224"/>
    </row>
    <row r="33" spans="1:18">
      <c r="A33" s="5">
        <v>23</v>
      </c>
      <c r="B33" s="602" t="s">
        <v>847</v>
      </c>
      <c r="C33" s="601">
        <v>90886</v>
      </c>
      <c r="D33" s="601">
        <v>31.25</v>
      </c>
      <c r="E33" s="601">
        <v>42.75</v>
      </c>
      <c r="F33" s="601">
        <v>0</v>
      </c>
      <c r="G33" s="598">
        <f t="shared" si="0"/>
        <v>90960</v>
      </c>
      <c r="H33" s="599">
        <v>248</v>
      </c>
      <c r="I33" s="600">
        <f t="shared" si="1"/>
        <v>2255.808</v>
      </c>
      <c r="J33" s="600">
        <f t="shared" si="2"/>
        <v>1127.904</v>
      </c>
      <c r="K33" s="600">
        <f t="shared" si="3"/>
        <v>1127.904</v>
      </c>
      <c r="L33" s="281">
        <v>0</v>
      </c>
      <c r="M33" s="224"/>
      <c r="N33" s="224"/>
      <c r="O33" s="224"/>
      <c r="P33" s="224"/>
      <c r="Q33" s="224"/>
      <c r="R33" s="224"/>
    </row>
    <row r="34" spans="1:18">
      <c r="A34" s="5">
        <v>24</v>
      </c>
      <c r="B34" s="602" t="s">
        <v>848</v>
      </c>
      <c r="C34" s="601">
        <v>73932.75</v>
      </c>
      <c r="D34" s="601">
        <v>0</v>
      </c>
      <c r="E34" s="601">
        <v>0</v>
      </c>
      <c r="F34" s="601">
        <v>0</v>
      </c>
      <c r="G34" s="598">
        <f t="shared" si="0"/>
        <v>73932.75</v>
      </c>
      <c r="H34" s="599">
        <v>248</v>
      </c>
      <c r="I34" s="600">
        <f t="shared" si="1"/>
        <v>1833.5322000000001</v>
      </c>
      <c r="J34" s="600">
        <f t="shared" si="2"/>
        <v>916.76610000000005</v>
      </c>
      <c r="K34" s="600">
        <f t="shared" si="3"/>
        <v>916.76610000000005</v>
      </c>
      <c r="L34" s="281">
        <v>0</v>
      </c>
      <c r="M34" s="224"/>
      <c r="N34" s="224"/>
      <c r="O34" s="224"/>
      <c r="P34" s="224"/>
      <c r="Q34" s="224"/>
      <c r="R34" s="224"/>
    </row>
    <row r="35" spans="1:18">
      <c r="A35" s="5">
        <v>25</v>
      </c>
      <c r="B35" s="602" t="s">
        <v>849</v>
      </c>
      <c r="C35" s="601">
        <v>37693.75</v>
      </c>
      <c r="D35" s="601">
        <v>662.25</v>
      </c>
      <c r="E35" s="601">
        <v>0</v>
      </c>
      <c r="F35" s="601">
        <v>0</v>
      </c>
      <c r="G35" s="598">
        <f t="shared" si="0"/>
        <v>38356</v>
      </c>
      <c r="H35" s="599">
        <v>248</v>
      </c>
      <c r="I35" s="600">
        <f t="shared" si="1"/>
        <v>951.22879999999998</v>
      </c>
      <c r="J35" s="600">
        <f t="shared" si="2"/>
        <v>475.61439999999999</v>
      </c>
      <c r="K35" s="600">
        <f t="shared" si="3"/>
        <v>475.61439999999999</v>
      </c>
      <c r="L35" s="281">
        <v>0</v>
      </c>
      <c r="M35" s="224"/>
      <c r="N35" s="224"/>
      <c r="O35" s="224"/>
      <c r="P35" s="224"/>
      <c r="Q35" s="224"/>
      <c r="R35" s="224"/>
    </row>
    <row r="36" spans="1:18">
      <c r="A36" s="5">
        <v>26</v>
      </c>
      <c r="B36" s="602" t="s">
        <v>850</v>
      </c>
      <c r="C36" s="601">
        <v>47671.5</v>
      </c>
      <c r="D36" s="601">
        <v>203.75</v>
      </c>
      <c r="E36" s="601">
        <v>0</v>
      </c>
      <c r="F36" s="601">
        <v>0</v>
      </c>
      <c r="G36" s="598">
        <f t="shared" si="0"/>
        <v>47875.25</v>
      </c>
      <c r="H36" s="599">
        <v>248</v>
      </c>
      <c r="I36" s="600">
        <f t="shared" si="1"/>
        <v>1187.3062</v>
      </c>
      <c r="J36" s="600">
        <f t="shared" si="2"/>
        <v>593.65309999999999</v>
      </c>
      <c r="K36" s="600">
        <f t="shared" si="3"/>
        <v>593.65309999999999</v>
      </c>
      <c r="L36" s="281">
        <v>0</v>
      </c>
      <c r="M36" s="224"/>
      <c r="N36" s="224"/>
      <c r="O36" s="224"/>
      <c r="P36" s="224"/>
      <c r="Q36" s="224"/>
      <c r="R36" s="224"/>
    </row>
    <row r="37" spans="1:18">
      <c r="A37" s="5">
        <v>27</v>
      </c>
      <c r="B37" s="602" t="s">
        <v>851</v>
      </c>
      <c r="C37" s="601">
        <v>73535.5</v>
      </c>
      <c r="D37" s="601">
        <v>0</v>
      </c>
      <c r="E37" s="601">
        <v>0</v>
      </c>
      <c r="F37" s="601">
        <v>0</v>
      </c>
      <c r="G37" s="598">
        <f t="shared" si="0"/>
        <v>73535.5</v>
      </c>
      <c r="H37" s="599">
        <v>248</v>
      </c>
      <c r="I37" s="600">
        <f t="shared" si="1"/>
        <v>1823.6804</v>
      </c>
      <c r="J37" s="600">
        <f t="shared" si="2"/>
        <v>911.84019999999998</v>
      </c>
      <c r="K37" s="600">
        <f t="shared" si="3"/>
        <v>911.84019999999998</v>
      </c>
      <c r="L37" s="281">
        <v>0</v>
      </c>
      <c r="M37" s="224"/>
      <c r="N37" s="224"/>
      <c r="O37" s="224"/>
      <c r="P37" s="224"/>
      <c r="Q37" s="224"/>
      <c r="R37" s="224"/>
    </row>
    <row r="38" spans="1:18">
      <c r="A38" s="5">
        <v>28</v>
      </c>
      <c r="B38" s="602" t="s">
        <v>852</v>
      </c>
      <c r="C38" s="601">
        <v>36263.25</v>
      </c>
      <c r="D38" s="601">
        <v>0</v>
      </c>
      <c r="E38" s="601">
        <v>0</v>
      </c>
      <c r="F38" s="601">
        <v>0</v>
      </c>
      <c r="G38" s="598">
        <f t="shared" si="0"/>
        <v>36263.25</v>
      </c>
      <c r="H38" s="599">
        <v>248</v>
      </c>
      <c r="I38" s="600">
        <f t="shared" si="1"/>
        <v>899.32860000000005</v>
      </c>
      <c r="J38" s="600">
        <f t="shared" si="2"/>
        <v>449.66430000000003</v>
      </c>
      <c r="K38" s="600">
        <f t="shared" si="3"/>
        <v>449.66430000000003</v>
      </c>
      <c r="L38" s="281">
        <v>0</v>
      </c>
      <c r="M38" s="224"/>
      <c r="N38" s="224"/>
      <c r="O38" s="224"/>
      <c r="P38" s="224"/>
      <c r="Q38" s="224"/>
      <c r="R38" s="224"/>
    </row>
    <row r="39" spans="1:18">
      <c r="A39" s="5">
        <v>29</v>
      </c>
      <c r="B39" s="602" t="s">
        <v>853</v>
      </c>
      <c r="C39" s="601">
        <v>83028.5</v>
      </c>
      <c r="D39" s="601">
        <v>0</v>
      </c>
      <c r="E39" s="601">
        <v>0</v>
      </c>
      <c r="F39" s="601">
        <v>0</v>
      </c>
      <c r="G39" s="598">
        <f t="shared" si="0"/>
        <v>83028.5</v>
      </c>
      <c r="H39" s="599">
        <v>248</v>
      </c>
      <c r="I39" s="600">
        <f t="shared" si="1"/>
        <v>2059.1068</v>
      </c>
      <c r="J39" s="600">
        <f t="shared" si="2"/>
        <v>1029.5534</v>
      </c>
      <c r="K39" s="600">
        <f t="shared" si="3"/>
        <v>1029.5534</v>
      </c>
      <c r="L39" s="281">
        <v>0</v>
      </c>
      <c r="M39" s="224"/>
      <c r="N39" s="224"/>
      <c r="O39" s="224"/>
      <c r="P39" s="224"/>
      <c r="Q39" s="224"/>
      <c r="R39" s="224"/>
    </row>
    <row r="40" spans="1:18">
      <c r="A40" s="5">
        <v>30</v>
      </c>
      <c r="B40" s="602" t="s">
        <v>854</v>
      </c>
      <c r="C40" s="601">
        <v>28005.5</v>
      </c>
      <c r="D40" s="601">
        <v>0</v>
      </c>
      <c r="E40" s="601">
        <v>0</v>
      </c>
      <c r="F40" s="601">
        <v>0</v>
      </c>
      <c r="G40" s="598">
        <f t="shared" si="0"/>
        <v>28005.5</v>
      </c>
      <c r="H40" s="599">
        <v>248</v>
      </c>
      <c r="I40" s="600">
        <f t="shared" si="1"/>
        <v>694.53639999999996</v>
      </c>
      <c r="J40" s="600">
        <f t="shared" si="2"/>
        <v>347.26819999999998</v>
      </c>
      <c r="K40" s="600">
        <f t="shared" si="3"/>
        <v>347.26819999999998</v>
      </c>
      <c r="L40" s="281">
        <v>0</v>
      </c>
      <c r="M40" s="224"/>
      <c r="N40" s="224"/>
      <c r="O40" s="224"/>
      <c r="P40" s="224"/>
      <c r="Q40" s="224"/>
      <c r="R40" s="224"/>
    </row>
    <row r="41" spans="1:18">
      <c r="A41" s="5">
        <v>31</v>
      </c>
      <c r="B41" s="602" t="s">
        <v>855</v>
      </c>
      <c r="C41" s="601">
        <v>45383</v>
      </c>
      <c r="D41" s="601">
        <v>0</v>
      </c>
      <c r="E41" s="601">
        <v>0</v>
      </c>
      <c r="F41" s="601">
        <v>0</v>
      </c>
      <c r="G41" s="598">
        <f t="shared" si="0"/>
        <v>45383</v>
      </c>
      <c r="H41" s="599">
        <v>248</v>
      </c>
      <c r="I41" s="600">
        <f t="shared" si="1"/>
        <v>1125.4983999999999</v>
      </c>
      <c r="J41" s="600">
        <f t="shared" si="2"/>
        <v>562.74919999999997</v>
      </c>
      <c r="K41" s="600">
        <f t="shared" si="3"/>
        <v>562.74919999999997</v>
      </c>
      <c r="L41" s="281">
        <v>0</v>
      </c>
      <c r="M41" s="224"/>
      <c r="N41" s="224"/>
      <c r="O41" s="224"/>
      <c r="P41" s="224"/>
      <c r="Q41" s="224"/>
      <c r="R41" s="224"/>
    </row>
    <row r="42" spans="1:18">
      <c r="A42" s="5">
        <v>32</v>
      </c>
      <c r="B42" s="602" t="s">
        <v>856</v>
      </c>
      <c r="C42" s="601">
        <v>75242</v>
      </c>
      <c r="D42" s="601">
        <v>0</v>
      </c>
      <c r="E42" s="601">
        <v>0</v>
      </c>
      <c r="F42" s="601">
        <v>0</v>
      </c>
      <c r="G42" s="598">
        <f t="shared" si="0"/>
        <v>75242</v>
      </c>
      <c r="H42" s="599">
        <v>248</v>
      </c>
      <c r="I42" s="600">
        <f t="shared" si="1"/>
        <v>1866.0016000000001</v>
      </c>
      <c r="J42" s="600">
        <f t="shared" si="2"/>
        <v>933.00080000000003</v>
      </c>
      <c r="K42" s="600">
        <f t="shared" si="3"/>
        <v>933.00080000000003</v>
      </c>
      <c r="L42" s="281">
        <v>0</v>
      </c>
      <c r="M42" s="224"/>
      <c r="N42" s="224"/>
      <c r="O42" s="224"/>
      <c r="P42" s="224"/>
      <c r="Q42" s="224"/>
      <c r="R42" s="224"/>
    </row>
    <row r="43" spans="1:18">
      <c r="A43" s="5">
        <v>33</v>
      </c>
      <c r="B43" s="602" t="s">
        <v>857</v>
      </c>
      <c r="C43" s="601">
        <v>40798.5</v>
      </c>
      <c r="D43" s="601">
        <v>0</v>
      </c>
      <c r="E43" s="601">
        <v>0</v>
      </c>
      <c r="F43" s="601">
        <v>0</v>
      </c>
      <c r="G43" s="598">
        <f t="shared" si="0"/>
        <v>40798.5</v>
      </c>
      <c r="H43" s="599">
        <v>248</v>
      </c>
      <c r="I43" s="600">
        <f t="shared" si="1"/>
        <v>1011.8028</v>
      </c>
      <c r="J43" s="600">
        <f t="shared" si="2"/>
        <v>505.90140000000002</v>
      </c>
      <c r="K43" s="600">
        <f t="shared" si="3"/>
        <v>505.90140000000002</v>
      </c>
      <c r="L43" s="281">
        <v>0</v>
      </c>
      <c r="M43" s="224"/>
      <c r="N43" s="224"/>
      <c r="O43" s="224"/>
      <c r="P43" s="224"/>
      <c r="Q43" s="224"/>
      <c r="R43" s="224"/>
    </row>
    <row r="44" spans="1:18">
      <c r="A44" s="225" t="s">
        <v>7</v>
      </c>
      <c r="B44" s="224" t="s">
        <v>18</v>
      </c>
      <c r="C44" s="603">
        <f>SUM(C11:C43)</f>
        <v>2659217.75</v>
      </c>
      <c r="D44" s="224">
        <f>SUM(D11:D43)</f>
        <v>12078</v>
      </c>
      <c r="E44" s="224">
        <f>SUM(E11:E43)</f>
        <v>1307.75</v>
      </c>
      <c r="F44" s="224">
        <f>SUM(F11:F43)</f>
        <v>248</v>
      </c>
      <c r="G44" s="603">
        <f>SUM(G11:G43)</f>
        <v>2672851.5</v>
      </c>
      <c r="H44" s="604">
        <v>248</v>
      </c>
      <c r="I44" s="736">
        <f>SUM(I11:I43)</f>
        <v>66286.717199999999</v>
      </c>
      <c r="J44" s="736">
        <f>SUM(J11:J43)</f>
        <v>33143.3586</v>
      </c>
      <c r="K44" s="224">
        <f t="shared" si="3"/>
        <v>33143.3586</v>
      </c>
      <c r="L44" s="224"/>
      <c r="M44" s="224"/>
      <c r="N44" s="224"/>
      <c r="O44" s="224"/>
      <c r="P44" s="224"/>
      <c r="Q44" s="224"/>
      <c r="R44" s="224"/>
    </row>
    <row r="45" spans="1:18">
      <c r="A45" s="226"/>
      <c r="B45" s="226"/>
      <c r="C45" s="226"/>
      <c r="D45" s="226"/>
      <c r="E45" s="226"/>
      <c r="F45" s="226"/>
      <c r="G45" s="226"/>
      <c r="H45" s="226"/>
      <c r="I45" s="222"/>
      <c r="J45" s="222"/>
      <c r="K45" s="222"/>
      <c r="L45" s="222"/>
      <c r="M45" s="222"/>
      <c r="N45" s="222"/>
      <c r="O45" s="222"/>
      <c r="P45" s="222"/>
      <c r="Q45" s="222"/>
      <c r="R45" s="222"/>
    </row>
    <row r="46" spans="1:18">
      <c r="A46" s="227" t="s">
        <v>8</v>
      </c>
      <c r="B46" s="228"/>
      <c r="C46" s="228"/>
      <c r="D46" s="226"/>
      <c r="E46" s="226"/>
      <c r="F46" s="226"/>
      <c r="G46" s="226"/>
      <c r="H46" s="226"/>
      <c r="I46" s="222"/>
      <c r="J46" s="222"/>
      <c r="K46" s="222"/>
      <c r="L46" s="222"/>
      <c r="M46" s="222"/>
      <c r="N46" s="222"/>
      <c r="O46" s="222"/>
      <c r="P46" s="222"/>
      <c r="Q46" s="222"/>
      <c r="R46" s="222"/>
    </row>
    <row r="47" spans="1:18">
      <c r="A47" s="229" t="s">
        <v>9</v>
      </c>
      <c r="B47" s="229"/>
      <c r="C47" s="229"/>
      <c r="I47" s="222"/>
      <c r="J47" s="222"/>
      <c r="K47" s="222"/>
      <c r="L47" s="222"/>
      <c r="M47" s="222"/>
      <c r="N47" s="222"/>
      <c r="O47" s="222"/>
      <c r="P47" s="222"/>
      <c r="Q47" s="222"/>
      <c r="R47" s="222"/>
    </row>
    <row r="48" spans="1:18">
      <c r="A48" s="229" t="s">
        <v>10</v>
      </c>
      <c r="B48" s="229"/>
      <c r="C48" s="229"/>
      <c r="I48" s="222"/>
      <c r="J48" s="222"/>
      <c r="K48" s="222"/>
      <c r="L48" s="222"/>
      <c r="M48" s="222"/>
      <c r="N48" s="222"/>
      <c r="O48" s="222"/>
      <c r="P48" s="222"/>
      <c r="Q48" s="222"/>
      <c r="R48" s="222"/>
    </row>
    <row r="49" spans="1:18">
      <c r="A49" s="229"/>
      <c r="B49" s="229"/>
      <c r="C49" s="229"/>
      <c r="I49" s="222"/>
      <c r="J49" s="222"/>
      <c r="K49" s="222"/>
      <c r="L49" s="222"/>
      <c r="M49" s="222"/>
      <c r="N49" s="222"/>
      <c r="O49" s="222"/>
      <c r="P49" s="222"/>
      <c r="Q49" s="222"/>
      <c r="R49" s="222"/>
    </row>
    <row r="50" spans="1:18">
      <c r="A50" s="229"/>
      <c r="B50" s="229"/>
      <c r="C50" s="229"/>
      <c r="I50" s="222"/>
      <c r="J50" s="222"/>
      <c r="K50" s="222"/>
      <c r="L50" s="222"/>
      <c r="M50" s="222"/>
      <c r="N50" s="222"/>
      <c r="O50" s="222"/>
      <c r="P50" s="222"/>
      <c r="Q50" s="222"/>
      <c r="R50" s="222"/>
    </row>
    <row r="51" spans="1:18" s="994" customFormat="1" ht="15.6" customHeight="1">
      <c r="A51" s="15" t="s">
        <v>12</v>
      </c>
      <c r="B51" s="15"/>
      <c r="C51" s="15"/>
      <c r="N51" s="1040" t="s">
        <v>1106</v>
      </c>
      <c r="O51" s="1040"/>
      <c r="P51" s="1040"/>
    </row>
    <row r="52" spans="1:18" s="994" customFormat="1" ht="15.6" customHeight="1">
      <c r="N52" s="1040" t="s">
        <v>481</v>
      </c>
      <c r="O52" s="1040"/>
      <c r="P52" s="1040"/>
    </row>
    <row r="53" spans="1:18" s="994" customFormat="1" ht="15.6" customHeight="1">
      <c r="N53" s="1040" t="s">
        <v>1107</v>
      </c>
      <c r="O53" s="1040"/>
      <c r="P53" s="1040"/>
    </row>
    <row r="54" spans="1:18">
      <c r="A54" s="229"/>
      <c r="B54" s="229"/>
      <c r="I54" s="222"/>
      <c r="J54" s="229"/>
      <c r="K54" s="229"/>
      <c r="L54" s="229"/>
      <c r="M54" s="229"/>
      <c r="N54" s="229"/>
      <c r="O54" s="229"/>
      <c r="P54" s="229"/>
      <c r="Q54" s="229"/>
      <c r="R54" s="229"/>
    </row>
    <row r="56" spans="1:18">
      <c r="A56" s="1525"/>
      <c r="B56" s="1525"/>
      <c r="C56" s="1525"/>
      <c r="D56" s="1525"/>
      <c r="E56" s="1525"/>
      <c r="F56" s="1525"/>
      <c r="G56" s="1525"/>
      <c r="H56" s="1525"/>
      <c r="I56" s="1525"/>
      <c r="J56" s="1525"/>
      <c r="K56" s="1525"/>
      <c r="L56" s="1525"/>
      <c r="M56" s="1525"/>
      <c r="N56" s="1525"/>
      <c r="O56" s="1525"/>
      <c r="P56" s="1525"/>
      <c r="Q56" s="1525"/>
      <c r="R56" s="1525"/>
    </row>
  </sheetData>
  <mergeCells count="18">
    <mergeCell ref="A56:R56"/>
    <mergeCell ref="M8:R8"/>
    <mergeCell ref="A4:R5"/>
    <mergeCell ref="N51:P51"/>
    <mergeCell ref="N52:P52"/>
    <mergeCell ref="N53:P53"/>
    <mergeCell ref="G1:I1"/>
    <mergeCell ref="A6:R6"/>
    <mergeCell ref="Q1:R1"/>
    <mergeCell ref="L7:R7"/>
    <mergeCell ref="A8:A9"/>
    <mergeCell ref="B8:B9"/>
    <mergeCell ref="C8:G8"/>
    <mergeCell ref="A7:B7"/>
    <mergeCell ref="H8:H9"/>
    <mergeCell ref="I8:L8"/>
    <mergeCell ref="A2:R2"/>
    <mergeCell ref="A3:R3"/>
  </mergeCells>
  <phoneticPr fontId="0" type="noConversion"/>
  <printOptions horizontalCentered="1"/>
  <pageMargins left="0.70866141732283472" right="0.70866141732283472" top="0.63" bottom="0" header="0.79" footer="0.31496062992125984"/>
  <pageSetup paperSize="9" scale="76"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R56"/>
  <sheetViews>
    <sheetView view="pageBreakPreview" topLeftCell="C43" zoomScaleNormal="70" zoomScaleSheetLayoutView="100" workbookViewId="0">
      <selection activeCell="E13" sqref="E13"/>
    </sheetView>
  </sheetViews>
  <sheetFormatPr defaultColWidth="9.28515625" defaultRowHeight="12.75"/>
  <cols>
    <col min="1" max="1" width="5.42578125" style="222" customWidth="1"/>
    <col min="2" max="2" width="15.28515625" style="222" customWidth="1"/>
    <col min="3" max="3" width="10.28515625" style="222" customWidth="1"/>
    <col min="4" max="4" width="8.42578125" style="222" customWidth="1"/>
    <col min="5" max="6" width="9.7109375" style="222" customWidth="1"/>
    <col min="7" max="7" width="10.7109375" style="222" customWidth="1"/>
    <col min="8" max="8" width="12.7109375" style="222" customWidth="1"/>
    <col min="9" max="9" width="8.7109375" style="214" customWidth="1"/>
    <col min="10" max="11" width="8" style="214" customWidth="1"/>
    <col min="12" max="14" width="8.28515625" style="214" customWidth="1"/>
    <col min="15" max="15" width="8.42578125" style="214" customWidth="1"/>
    <col min="16" max="16" width="8.28515625" style="214" customWidth="1"/>
    <col min="17" max="17" width="8.7109375" style="214" customWidth="1"/>
    <col min="18" max="18" width="8.28515625" style="214" customWidth="1"/>
    <col min="19" max="16384" width="9.28515625" style="214"/>
  </cols>
  <sheetData>
    <row r="1" spans="1:18" ht="12.75" customHeight="1">
      <c r="G1" s="1512"/>
      <c r="H1" s="1512"/>
      <c r="I1" s="1512"/>
      <c r="J1" s="222"/>
      <c r="K1" s="222"/>
      <c r="L1" s="222"/>
      <c r="M1" s="222"/>
      <c r="N1" s="222"/>
      <c r="O1" s="222"/>
      <c r="P1" s="222"/>
      <c r="Q1" s="1514" t="s">
        <v>535</v>
      </c>
      <c r="R1" s="1514"/>
    </row>
    <row r="2" spans="1:18" ht="15.75">
      <c r="A2" s="1523" t="s">
        <v>0</v>
      </c>
      <c r="B2" s="1523"/>
      <c r="C2" s="1523"/>
      <c r="D2" s="1523"/>
      <c r="E2" s="1523"/>
      <c r="F2" s="1523"/>
      <c r="G2" s="1523"/>
      <c r="H2" s="1523"/>
      <c r="I2" s="1523"/>
      <c r="J2" s="1523"/>
      <c r="K2" s="1523"/>
      <c r="L2" s="1523"/>
      <c r="M2" s="1523"/>
      <c r="N2" s="1523"/>
      <c r="O2" s="1523"/>
      <c r="P2" s="1523"/>
      <c r="Q2" s="1523"/>
      <c r="R2" s="1523"/>
    </row>
    <row r="3" spans="1:18" ht="18">
      <c r="A3" s="1524" t="s">
        <v>636</v>
      </c>
      <c r="B3" s="1524"/>
      <c r="C3" s="1524"/>
      <c r="D3" s="1524"/>
      <c r="E3" s="1524"/>
      <c r="F3" s="1524"/>
      <c r="G3" s="1524"/>
      <c r="H3" s="1524"/>
      <c r="I3" s="1524"/>
      <c r="J3" s="1524"/>
      <c r="K3" s="1524"/>
      <c r="L3" s="1524"/>
      <c r="M3" s="1524"/>
      <c r="N3" s="1524"/>
      <c r="O3" s="1524"/>
      <c r="P3" s="1524"/>
      <c r="Q3" s="1524"/>
      <c r="R3" s="1524"/>
    </row>
    <row r="4" spans="1:18" ht="12.75" customHeight="1">
      <c r="A4" s="1526" t="s">
        <v>714</v>
      </c>
      <c r="B4" s="1526"/>
      <c r="C4" s="1526"/>
      <c r="D4" s="1526"/>
      <c r="E4" s="1526"/>
      <c r="F4" s="1526"/>
      <c r="G4" s="1526"/>
      <c r="H4" s="1526"/>
      <c r="I4" s="1526"/>
      <c r="J4" s="1526"/>
      <c r="K4" s="1526"/>
      <c r="L4" s="1526"/>
      <c r="M4" s="1526"/>
      <c r="N4" s="1526"/>
      <c r="O4" s="1526"/>
      <c r="P4" s="1526"/>
      <c r="Q4" s="1526"/>
      <c r="R4" s="1526"/>
    </row>
    <row r="5" spans="1:18" s="215" customFormat="1" ht="7.5" customHeight="1">
      <c r="A5" s="1526"/>
      <c r="B5" s="1526"/>
      <c r="C5" s="1526"/>
      <c r="D5" s="1526"/>
      <c r="E5" s="1526"/>
      <c r="F5" s="1526"/>
      <c r="G5" s="1526"/>
      <c r="H5" s="1526"/>
      <c r="I5" s="1526"/>
      <c r="J5" s="1526"/>
      <c r="K5" s="1526"/>
      <c r="L5" s="1526"/>
      <c r="M5" s="1526"/>
      <c r="N5" s="1526"/>
      <c r="O5" s="1526"/>
      <c r="P5" s="1526"/>
      <c r="Q5" s="1526"/>
      <c r="R5" s="1526"/>
    </row>
    <row r="6" spans="1:18">
      <c r="A6" s="1513"/>
      <c r="B6" s="1513"/>
      <c r="C6" s="1513"/>
      <c r="D6" s="1513"/>
      <c r="E6" s="1513"/>
      <c r="F6" s="1513"/>
      <c r="G6" s="1513"/>
      <c r="H6" s="1513"/>
      <c r="I6" s="1513"/>
      <c r="J6" s="1513"/>
      <c r="K6" s="1513"/>
      <c r="L6" s="1513"/>
      <c r="M6" s="1513"/>
      <c r="N6" s="1513"/>
      <c r="O6" s="1513"/>
      <c r="P6" s="1513"/>
      <c r="Q6" s="1513"/>
      <c r="R6" s="1513"/>
    </row>
    <row r="7" spans="1:18">
      <c r="A7" s="1520" t="s">
        <v>1061</v>
      </c>
      <c r="B7" s="1520"/>
      <c r="H7" s="283"/>
      <c r="I7" s="222"/>
      <c r="J7" s="222"/>
      <c r="K7" s="222"/>
      <c r="L7" s="1515"/>
      <c r="M7" s="1515"/>
      <c r="N7" s="1515"/>
      <c r="O7" s="1515"/>
      <c r="P7" s="1515"/>
      <c r="Q7" s="1515"/>
      <c r="R7" s="1515"/>
    </row>
    <row r="8" spans="1:18" ht="30.75" customHeight="1">
      <c r="A8" s="1527" t="s">
        <v>2</v>
      </c>
      <c r="B8" s="1527" t="s">
        <v>3</v>
      </c>
      <c r="C8" s="1528" t="s">
        <v>488</v>
      </c>
      <c r="D8" s="1529"/>
      <c r="E8" s="1529"/>
      <c r="F8" s="1529"/>
      <c r="G8" s="1530"/>
      <c r="H8" s="1531" t="s">
        <v>84</v>
      </c>
      <c r="I8" s="1528" t="s">
        <v>85</v>
      </c>
      <c r="J8" s="1529"/>
      <c r="K8" s="1529"/>
      <c r="L8" s="1530"/>
      <c r="M8" s="1528" t="s">
        <v>707</v>
      </c>
      <c r="N8" s="1529"/>
      <c r="O8" s="1529"/>
      <c r="P8" s="1529"/>
      <c r="Q8" s="1529"/>
      <c r="R8" s="1529"/>
    </row>
    <row r="9" spans="1:18" s="826" customFormat="1" ht="44.45" customHeight="1">
      <c r="A9" s="1527"/>
      <c r="B9" s="1527"/>
      <c r="C9" s="778" t="s">
        <v>5</v>
      </c>
      <c r="D9" s="778" t="s">
        <v>6</v>
      </c>
      <c r="E9" s="778" t="s">
        <v>356</v>
      </c>
      <c r="F9" s="779" t="s">
        <v>99</v>
      </c>
      <c r="G9" s="779" t="s">
        <v>232</v>
      </c>
      <c r="H9" s="1532"/>
      <c r="I9" s="778" t="s">
        <v>959</v>
      </c>
      <c r="J9" s="778" t="s">
        <v>960</v>
      </c>
      <c r="K9" s="778" t="s">
        <v>961</v>
      </c>
      <c r="L9" s="778" t="s">
        <v>962</v>
      </c>
      <c r="M9" s="778" t="s">
        <v>18</v>
      </c>
      <c r="N9" s="778" t="s">
        <v>708</v>
      </c>
      <c r="O9" s="778" t="s">
        <v>709</v>
      </c>
      <c r="P9" s="778" t="s">
        <v>710</v>
      </c>
      <c r="Q9" s="778" t="s">
        <v>711</v>
      </c>
      <c r="R9" s="778" t="s">
        <v>712</v>
      </c>
    </row>
    <row r="10" spans="1:18" s="216" customFormat="1">
      <c r="A10" s="605">
        <v>1</v>
      </c>
      <c r="B10" s="605">
        <v>2</v>
      </c>
      <c r="C10" s="605">
        <v>3</v>
      </c>
      <c r="D10" s="605">
        <v>4</v>
      </c>
      <c r="E10" s="605">
        <v>5</v>
      </c>
      <c r="F10" s="605">
        <v>6</v>
      </c>
      <c r="G10" s="605">
        <v>7</v>
      </c>
      <c r="H10" s="605">
        <v>8</v>
      </c>
      <c r="I10" s="605">
        <v>9</v>
      </c>
      <c r="J10" s="605">
        <v>10</v>
      </c>
      <c r="K10" s="605">
        <v>11</v>
      </c>
      <c r="L10" s="605">
        <v>12</v>
      </c>
      <c r="M10" s="605">
        <v>13</v>
      </c>
      <c r="N10" s="605">
        <v>14</v>
      </c>
      <c r="O10" s="605">
        <v>15</v>
      </c>
      <c r="P10" s="605">
        <v>16</v>
      </c>
      <c r="Q10" s="605">
        <v>17</v>
      </c>
      <c r="R10" s="605">
        <v>18</v>
      </c>
    </row>
    <row r="11" spans="1:18" s="216" customFormat="1">
      <c r="A11" s="605">
        <v>1</v>
      </c>
      <c r="B11" s="605" t="s">
        <v>825</v>
      </c>
      <c r="C11" s="606">
        <v>111923.75</v>
      </c>
      <c r="D11" s="606">
        <v>674.75</v>
      </c>
      <c r="E11" s="606">
        <v>696</v>
      </c>
      <c r="F11" s="606">
        <v>0</v>
      </c>
      <c r="G11" s="606">
        <f>C11+D11+E11+F11</f>
        <v>113294.5</v>
      </c>
      <c r="H11" s="607">
        <v>248</v>
      </c>
      <c r="I11" s="608">
        <f>J11+K11</f>
        <v>4214.5554000000002</v>
      </c>
      <c r="J11" s="608">
        <f>G11*H11*75/1000000</f>
        <v>2107.2777000000001</v>
      </c>
      <c r="K11" s="608">
        <f>G11*H11*75/1000000</f>
        <v>2107.2777000000001</v>
      </c>
      <c r="L11" s="608">
        <v>0</v>
      </c>
      <c r="M11" s="605"/>
      <c r="N11" s="605"/>
      <c r="O11" s="605"/>
      <c r="P11" s="605"/>
      <c r="Q11" s="605"/>
      <c r="R11" s="605"/>
    </row>
    <row r="12" spans="1:18" s="216" customFormat="1">
      <c r="A12" s="605">
        <v>2</v>
      </c>
      <c r="B12" s="605" t="s">
        <v>826</v>
      </c>
      <c r="C12" s="606">
        <v>36231.25</v>
      </c>
      <c r="D12" s="606">
        <v>0</v>
      </c>
      <c r="E12" s="606">
        <v>278</v>
      </c>
      <c r="F12" s="606">
        <v>0</v>
      </c>
      <c r="G12" s="606">
        <f t="shared" ref="G12:G43" si="0">C12+D12+E12+F12</f>
        <v>36509.25</v>
      </c>
      <c r="H12" s="607">
        <v>248</v>
      </c>
      <c r="I12" s="608">
        <f t="shared" ref="I12:I43" si="1">J12+K12</f>
        <v>1358.1441</v>
      </c>
      <c r="J12" s="608">
        <f t="shared" ref="J12:J43" si="2">G12*H12*75/1000000</f>
        <v>679.07204999999999</v>
      </c>
      <c r="K12" s="608">
        <f t="shared" ref="K12:K43" si="3">G12*H12*75/1000000</f>
        <v>679.07204999999999</v>
      </c>
      <c r="L12" s="608">
        <v>0</v>
      </c>
      <c r="M12" s="605"/>
      <c r="N12" s="605"/>
      <c r="O12" s="605"/>
      <c r="P12" s="605"/>
      <c r="Q12" s="605"/>
      <c r="R12" s="605"/>
    </row>
    <row r="13" spans="1:18" s="216" customFormat="1">
      <c r="A13" s="605">
        <v>3</v>
      </c>
      <c r="B13" s="605" t="s">
        <v>827</v>
      </c>
      <c r="C13" s="606">
        <v>74933.5</v>
      </c>
      <c r="D13" s="606">
        <v>183</v>
      </c>
      <c r="E13" s="606">
        <v>175</v>
      </c>
      <c r="F13" s="606">
        <v>0</v>
      </c>
      <c r="G13" s="606">
        <f t="shared" si="0"/>
        <v>75291.5</v>
      </c>
      <c r="H13" s="607">
        <v>248</v>
      </c>
      <c r="I13" s="608">
        <f t="shared" si="1"/>
        <v>2800.8438000000001</v>
      </c>
      <c r="J13" s="608">
        <f t="shared" si="2"/>
        <v>1400.4219000000001</v>
      </c>
      <c r="K13" s="608">
        <f t="shared" si="3"/>
        <v>1400.4219000000001</v>
      </c>
      <c r="L13" s="608">
        <v>0</v>
      </c>
      <c r="M13" s="605"/>
      <c r="N13" s="605"/>
      <c r="O13" s="605"/>
      <c r="P13" s="605"/>
      <c r="Q13" s="605"/>
      <c r="R13" s="605"/>
    </row>
    <row r="14" spans="1:18" s="216" customFormat="1">
      <c r="A14" s="605">
        <v>4</v>
      </c>
      <c r="B14" s="605" t="s">
        <v>828</v>
      </c>
      <c r="C14" s="606">
        <v>57418.25</v>
      </c>
      <c r="D14" s="606">
        <v>2881.75</v>
      </c>
      <c r="E14" s="606">
        <v>123</v>
      </c>
      <c r="F14" s="606">
        <v>0</v>
      </c>
      <c r="G14" s="606">
        <f t="shared" si="0"/>
        <v>60423</v>
      </c>
      <c r="H14" s="607">
        <v>248</v>
      </c>
      <c r="I14" s="608">
        <f t="shared" si="1"/>
        <v>2247.7356</v>
      </c>
      <c r="J14" s="608">
        <f t="shared" si="2"/>
        <v>1123.8678</v>
      </c>
      <c r="K14" s="608">
        <f t="shared" si="3"/>
        <v>1123.8678</v>
      </c>
      <c r="L14" s="608">
        <v>0</v>
      </c>
      <c r="M14" s="605"/>
      <c r="N14" s="605"/>
      <c r="O14" s="605"/>
      <c r="P14" s="605"/>
      <c r="Q14" s="605"/>
      <c r="R14" s="605"/>
    </row>
    <row r="15" spans="1:18" s="216" customFormat="1">
      <c r="A15" s="605">
        <v>5</v>
      </c>
      <c r="B15" s="605" t="s">
        <v>829</v>
      </c>
      <c r="C15" s="606">
        <v>127233</v>
      </c>
      <c r="D15" s="606">
        <v>830.5</v>
      </c>
      <c r="E15" s="606">
        <v>1926</v>
      </c>
      <c r="F15" s="606">
        <v>0</v>
      </c>
      <c r="G15" s="606">
        <f t="shared" si="0"/>
        <v>129989.5</v>
      </c>
      <c r="H15" s="607">
        <v>248</v>
      </c>
      <c r="I15" s="608">
        <f t="shared" si="1"/>
        <v>4835.6094000000003</v>
      </c>
      <c r="J15" s="608">
        <f t="shared" si="2"/>
        <v>2417.8047000000001</v>
      </c>
      <c r="K15" s="608">
        <f t="shared" si="3"/>
        <v>2417.8047000000001</v>
      </c>
      <c r="L15" s="608">
        <v>0</v>
      </c>
      <c r="M15" s="605"/>
      <c r="N15" s="605"/>
      <c r="O15" s="605"/>
      <c r="P15" s="605"/>
      <c r="Q15" s="605"/>
      <c r="R15" s="605"/>
    </row>
    <row r="16" spans="1:18" s="216" customFormat="1">
      <c r="A16" s="605">
        <v>6</v>
      </c>
      <c r="B16" s="605" t="s">
        <v>830</v>
      </c>
      <c r="C16" s="606">
        <v>35356.5</v>
      </c>
      <c r="D16" s="606">
        <v>1498.25</v>
      </c>
      <c r="E16" s="606">
        <v>979</v>
      </c>
      <c r="F16" s="606">
        <v>0</v>
      </c>
      <c r="G16" s="606">
        <f t="shared" si="0"/>
        <v>37833.75</v>
      </c>
      <c r="H16" s="607">
        <v>248</v>
      </c>
      <c r="I16" s="608">
        <f t="shared" si="1"/>
        <v>1407.4155000000001</v>
      </c>
      <c r="J16" s="608">
        <f t="shared" si="2"/>
        <v>703.70775000000003</v>
      </c>
      <c r="K16" s="608">
        <f t="shared" si="3"/>
        <v>703.70775000000003</v>
      </c>
      <c r="L16" s="608">
        <v>0</v>
      </c>
      <c r="M16" s="605"/>
      <c r="N16" s="605"/>
      <c r="O16" s="605"/>
      <c r="P16" s="605"/>
      <c r="Q16" s="605"/>
      <c r="R16" s="605"/>
    </row>
    <row r="17" spans="1:18" s="216" customFormat="1">
      <c r="A17" s="605">
        <v>7</v>
      </c>
      <c r="B17" s="605" t="s">
        <v>831</v>
      </c>
      <c r="C17" s="606">
        <v>27927</v>
      </c>
      <c r="D17" s="606">
        <v>367</v>
      </c>
      <c r="E17" s="606">
        <v>34</v>
      </c>
      <c r="F17" s="606">
        <v>0</v>
      </c>
      <c r="G17" s="606">
        <f t="shared" si="0"/>
        <v>28328</v>
      </c>
      <c r="H17" s="607">
        <v>248</v>
      </c>
      <c r="I17" s="608">
        <f t="shared" si="1"/>
        <v>1053.8016</v>
      </c>
      <c r="J17" s="608">
        <f t="shared" si="2"/>
        <v>526.9008</v>
      </c>
      <c r="K17" s="608">
        <f t="shared" si="3"/>
        <v>526.9008</v>
      </c>
      <c r="L17" s="608">
        <v>0</v>
      </c>
      <c r="M17" s="605"/>
      <c r="N17" s="605"/>
      <c r="O17" s="605"/>
      <c r="P17" s="605"/>
      <c r="Q17" s="605"/>
      <c r="R17" s="605"/>
    </row>
    <row r="18" spans="1:18" s="216" customFormat="1">
      <c r="A18" s="605">
        <v>8</v>
      </c>
      <c r="B18" s="605" t="s">
        <v>832</v>
      </c>
      <c r="C18" s="606">
        <v>76100.75</v>
      </c>
      <c r="D18" s="606">
        <v>0</v>
      </c>
      <c r="E18" s="606">
        <v>891</v>
      </c>
      <c r="F18" s="606">
        <v>0</v>
      </c>
      <c r="G18" s="606">
        <f t="shared" si="0"/>
        <v>76991.75</v>
      </c>
      <c r="H18" s="607">
        <v>248</v>
      </c>
      <c r="I18" s="608">
        <f t="shared" si="1"/>
        <v>2864.0931</v>
      </c>
      <c r="J18" s="608">
        <f t="shared" si="2"/>
        <v>1432.04655</v>
      </c>
      <c r="K18" s="608">
        <f t="shared" si="3"/>
        <v>1432.04655</v>
      </c>
      <c r="L18" s="608">
        <v>0</v>
      </c>
      <c r="M18" s="605"/>
      <c r="N18" s="605"/>
      <c r="O18" s="605"/>
      <c r="P18" s="605"/>
      <c r="Q18" s="605"/>
      <c r="R18" s="605"/>
    </row>
    <row r="19" spans="1:18" s="216" customFormat="1">
      <c r="A19" s="605">
        <v>9</v>
      </c>
      <c r="B19" s="605" t="s">
        <v>833</v>
      </c>
      <c r="C19" s="606">
        <v>75851.75</v>
      </c>
      <c r="D19" s="606">
        <v>2428</v>
      </c>
      <c r="E19" s="606">
        <v>788</v>
      </c>
      <c r="F19" s="606">
        <v>0</v>
      </c>
      <c r="G19" s="606">
        <f t="shared" si="0"/>
        <v>79067.75</v>
      </c>
      <c r="H19" s="607">
        <v>248</v>
      </c>
      <c r="I19" s="608">
        <f t="shared" si="1"/>
        <v>2941.3202999999999</v>
      </c>
      <c r="J19" s="608">
        <f t="shared" si="2"/>
        <v>1470.6601499999999</v>
      </c>
      <c r="K19" s="608">
        <f t="shared" si="3"/>
        <v>1470.6601499999999</v>
      </c>
      <c r="L19" s="608">
        <v>0</v>
      </c>
      <c r="M19" s="605"/>
      <c r="N19" s="605"/>
      <c r="O19" s="605"/>
      <c r="P19" s="605"/>
      <c r="Q19" s="605"/>
      <c r="R19" s="605"/>
    </row>
    <row r="20" spans="1:18" s="216" customFormat="1">
      <c r="A20" s="605">
        <v>10</v>
      </c>
      <c r="B20" s="605" t="s">
        <v>834</v>
      </c>
      <c r="C20" s="606">
        <v>13943.25</v>
      </c>
      <c r="D20" s="606">
        <v>0</v>
      </c>
      <c r="E20" s="606">
        <v>578</v>
      </c>
      <c r="F20" s="606">
        <v>0</v>
      </c>
      <c r="G20" s="606">
        <f t="shared" si="0"/>
        <v>14521.25</v>
      </c>
      <c r="H20" s="607">
        <v>248</v>
      </c>
      <c r="I20" s="608">
        <f t="shared" si="1"/>
        <v>540.19050000000004</v>
      </c>
      <c r="J20" s="608">
        <f t="shared" si="2"/>
        <v>270.09525000000002</v>
      </c>
      <c r="K20" s="608">
        <f t="shared" si="3"/>
        <v>270.09525000000002</v>
      </c>
      <c r="L20" s="608">
        <v>0</v>
      </c>
      <c r="M20" s="605"/>
      <c r="N20" s="605"/>
      <c r="O20" s="605"/>
      <c r="P20" s="605"/>
      <c r="Q20" s="605"/>
      <c r="R20" s="605"/>
    </row>
    <row r="21" spans="1:18" s="216" customFormat="1">
      <c r="A21" s="605">
        <v>11</v>
      </c>
      <c r="B21" s="605" t="s">
        <v>835</v>
      </c>
      <c r="C21" s="606">
        <v>38695.25</v>
      </c>
      <c r="D21" s="606">
        <v>0</v>
      </c>
      <c r="E21" s="606">
        <v>372</v>
      </c>
      <c r="F21" s="606">
        <v>0</v>
      </c>
      <c r="G21" s="606">
        <f t="shared" si="0"/>
        <v>39067.25</v>
      </c>
      <c r="H21" s="607">
        <v>248</v>
      </c>
      <c r="I21" s="608">
        <f t="shared" si="1"/>
        <v>1453.3017</v>
      </c>
      <c r="J21" s="608">
        <f t="shared" si="2"/>
        <v>726.65084999999999</v>
      </c>
      <c r="K21" s="608">
        <f t="shared" si="3"/>
        <v>726.65084999999999</v>
      </c>
      <c r="L21" s="608">
        <v>0</v>
      </c>
      <c r="M21" s="605"/>
      <c r="N21" s="605"/>
      <c r="O21" s="605"/>
      <c r="P21" s="605"/>
      <c r="Q21" s="605"/>
      <c r="R21" s="605"/>
    </row>
    <row r="22" spans="1:18" s="216" customFormat="1">
      <c r="A22" s="605">
        <v>12</v>
      </c>
      <c r="B22" s="605" t="s">
        <v>836</v>
      </c>
      <c r="C22" s="606">
        <v>74655</v>
      </c>
      <c r="D22" s="606">
        <v>0</v>
      </c>
      <c r="E22" s="606">
        <v>339</v>
      </c>
      <c r="F22" s="606">
        <v>0</v>
      </c>
      <c r="G22" s="606">
        <f t="shared" si="0"/>
        <v>74994</v>
      </c>
      <c r="H22" s="607">
        <v>248</v>
      </c>
      <c r="I22" s="608">
        <f t="shared" si="1"/>
        <v>2789.7768000000001</v>
      </c>
      <c r="J22" s="608">
        <f t="shared" si="2"/>
        <v>1394.8884</v>
      </c>
      <c r="K22" s="608">
        <f t="shared" si="3"/>
        <v>1394.8884</v>
      </c>
      <c r="L22" s="608">
        <v>0</v>
      </c>
      <c r="M22" s="605"/>
      <c r="N22" s="605"/>
      <c r="O22" s="605"/>
      <c r="P22" s="605"/>
      <c r="Q22" s="605"/>
      <c r="R22" s="605"/>
    </row>
    <row r="23" spans="1:18" s="216" customFormat="1">
      <c r="A23" s="605">
        <v>13</v>
      </c>
      <c r="B23" s="605" t="s">
        <v>837</v>
      </c>
      <c r="C23" s="606">
        <v>96673.5</v>
      </c>
      <c r="D23" s="606">
        <v>2439.25</v>
      </c>
      <c r="E23" s="606">
        <v>1018</v>
      </c>
      <c r="F23" s="606">
        <v>0</v>
      </c>
      <c r="G23" s="606">
        <f t="shared" si="0"/>
        <v>100130.75</v>
      </c>
      <c r="H23" s="607">
        <v>248</v>
      </c>
      <c r="I23" s="608">
        <f t="shared" si="1"/>
        <v>3724.8638999999998</v>
      </c>
      <c r="J23" s="608">
        <f t="shared" si="2"/>
        <v>1862.4319499999999</v>
      </c>
      <c r="K23" s="608">
        <f t="shared" si="3"/>
        <v>1862.4319499999999</v>
      </c>
      <c r="L23" s="608">
        <v>0</v>
      </c>
      <c r="M23" s="605"/>
      <c r="N23" s="605"/>
      <c r="O23" s="605"/>
      <c r="P23" s="605"/>
      <c r="Q23" s="605"/>
      <c r="R23" s="605"/>
    </row>
    <row r="24" spans="1:18" s="216" customFormat="1">
      <c r="A24" s="605">
        <v>14</v>
      </c>
      <c r="B24" s="605" t="s">
        <v>838</v>
      </c>
      <c r="C24" s="606">
        <v>31526.25</v>
      </c>
      <c r="D24" s="606">
        <v>1009.25</v>
      </c>
      <c r="E24" s="606">
        <v>569</v>
      </c>
      <c r="F24" s="606">
        <v>0</v>
      </c>
      <c r="G24" s="606">
        <f t="shared" si="0"/>
        <v>33104.5</v>
      </c>
      <c r="H24" s="607">
        <v>248</v>
      </c>
      <c r="I24" s="608">
        <f t="shared" si="1"/>
        <v>1231.4874</v>
      </c>
      <c r="J24" s="608">
        <f t="shared" si="2"/>
        <v>615.74369999999999</v>
      </c>
      <c r="K24" s="608">
        <f t="shared" si="3"/>
        <v>615.74369999999999</v>
      </c>
      <c r="L24" s="608">
        <v>0</v>
      </c>
      <c r="M24" s="605"/>
      <c r="N24" s="605"/>
      <c r="O24" s="605"/>
      <c r="P24" s="605"/>
      <c r="Q24" s="605"/>
      <c r="R24" s="605"/>
    </row>
    <row r="25" spans="1:18" s="216" customFormat="1">
      <c r="A25" s="605">
        <v>15</v>
      </c>
      <c r="B25" s="605" t="s">
        <v>839</v>
      </c>
      <c r="C25" s="606">
        <v>26157.75</v>
      </c>
      <c r="D25" s="606">
        <v>0</v>
      </c>
      <c r="E25" s="606">
        <v>969</v>
      </c>
      <c r="F25" s="606">
        <v>0</v>
      </c>
      <c r="G25" s="606">
        <f t="shared" si="0"/>
        <v>27126.75</v>
      </c>
      <c r="H25" s="607">
        <v>248</v>
      </c>
      <c r="I25" s="608">
        <f t="shared" si="1"/>
        <v>1009.1151</v>
      </c>
      <c r="J25" s="608">
        <f t="shared" si="2"/>
        <v>504.55754999999999</v>
      </c>
      <c r="K25" s="608">
        <f t="shared" si="3"/>
        <v>504.55754999999999</v>
      </c>
      <c r="L25" s="608">
        <v>0</v>
      </c>
      <c r="M25" s="605"/>
      <c r="N25" s="605"/>
      <c r="O25" s="605"/>
      <c r="P25" s="605"/>
      <c r="Q25" s="605"/>
      <c r="R25" s="605"/>
    </row>
    <row r="26" spans="1:18" s="216" customFormat="1">
      <c r="A26" s="605">
        <v>16</v>
      </c>
      <c r="B26" s="605" t="s">
        <v>840</v>
      </c>
      <c r="C26" s="606">
        <v>18644</v>
      </c>
      <c r="D26" s="606">
        <v>0</v>
      </c>
      <c r="E26" s="606">
        <v>103</v>
      </c>
      <c r="F26" s="606">
        <v>0</v>
      </c>
      <c r="G26" s="606">
        <f t="shared" si="0"/>
        <v>18747</v>
      </c>
      <c r="H26" s="607">
        <v>248</v>
      </c>
      <c r="I26" s="608">
        <f t="shared" si="1"/>
        <v>697.38840000000005</v>
      </c>
      <c r="J26" s="608">
        <f t="shared" si="2"/>
        <v>348.69420000000002</v>
      </c>
      <c r="K26" s="608">
        <f t="shared" si="3"/>
        <v>348.69420000000002</v>
      </c>
      <c r="L26" s="608">
        <v>0</v>
      </c>
      <c r="M26" s="605"/>
      <c r="N26" s="605"/>
      <c r="O26" s="605"/>
      <c r="P26" s="605"/>
      <c r="Q26" s="605"/>
      <c r="R26" s="605"/>
    </row>
    <row r="27" spans="1:18" s="216" customFormat="1">
      <c r="A27" s="605">
        <v>17</v>
      </c>
      <c r="B27" s="605" t="s">
        <v>841</v>
      </c>
      <c r="C27" s="606">
        <v>75762</v>
      </c>
      <c r="D27" s="606">
        <v>0</v>
      </c>
      <c r="E27" s="606">
        <v>460</v>
      </c>
      <c r="F27" s="606">
        <v>0</v>
      </c>
      <c r="G27" s="606">
        <f t="shared" si="0"/>
        <v>76222</v>
      </c>
      <c r="H27" s="607">
        <v>248</v>
      </c>
      <c r="I27" s="608">
        <f t="shared" si="1"/>
        <v>2835.4584</v>
      </c>
      <c r="J27" s="608">
        <f t="shared" si="2"/>
        <v>1417.7292</v>
      </c>
      <c r="K27" s="608">
        <f t="shared" si="3"/>
        <v>1417.7292</v>
      </c>
      <c r="L27" s="608">
        <v>0</v>
      </c>
      <c r="M27" s="605"/>
      <c r="N27" s="605"/>
      <c r="O27" s="605"/>
      <c r="P27" s="605"/>
      <c r="Q27" s="605"/>
      <c r="R27" s="605"/>
    </row>
    <row r="28" spans="1:18">
      <c r="A28" s="223">
        <v>18</v>
      </c>
      <c r="B28" s="609" t="s">
        <v>842</v>
      </c>
      <c r="C28" s="422">
        <v>56520.75</v>
      </c>
      <c r="D28" s="422">
        <v>1887</v>
      </c>
      <c r="E28" s="422">
        <v>397</v>
      </c>
      <c r="F28" s="422">
        <v>0</v>
      </c>
      <c r="G28" s="606">
        <f t="shared" si="0"/>
        <v>58804.75</v>
      </c>
      <c r="H28" s="607">
        <v>248</v>
      </c>
      <c r="I28" s="608">
        <f t="shared" si="1"/>
        <v>2187.5367000000001</v>
      </c>
      <c r="J28" s="608">
        <f t="shared" si="2"/>
        <v>1093.7683500000001</v>
      </c>
      <c r="K28" s="608">
        <f t="shared" si="3"/>
        <v>1093.7683500000001</v>
      </c>
      <c r="L28" s="608">
        <v>0</v>
      </c>
      <c r="M28" s="609"/>
      <c r="N28" s="609"/>
      <c r="O28" s="609"/>
      <c r="P28" s="609"/>
      <c r="Q28" s="609"/>
      <c r="R28" s="609"/>
    </row>
    <row r="29" spans="1:18">
      <c r="A29" s="223">
        <v>19</v>
      </c>
      <c r="B29" s="609" t="s">
        <v>843</v>
      </c>
      <c r="C29" s="422">
        <v>49543.25</v>
      </c>
      <c r="D29" s="422">
        <v>0</v>
      </c>
      <c r="E29" s="422">
        <v>857</v>
      </c>
      <c r="F29" s="422">
        <v>0</v>
      </c>
      <c r="G29" s="606">
        <f t="shared" si="0"/>
        <v>50400.25</v>
      </c>
      <c r="H29" s="607">
        <v>248</v>
      </c>
      <c r="I29" s="608">
        <f t="shared" si="1"/>
        <v>1874.8893</v>
      </c>
      <c r="J29" s="608">
        <f t="shared" si="2"/>
        <v>937.44465000000002</v>
      </c>
      <c r="K29" s="608">
        <f t="shared" si="3"/>
        <v>937.44465000000002</v>
      </c>
      <c r="L29" s="608">
        <v>0</v>
      </c>
      <c r="M29" s="609"/>
      <c r="N29" s="609"/>
      <c r="O29" s="609"/>
      <c r="P29" s="609"/>
      <c r="Q29" s="609"/>
      <c r="R29" s="609"/>
    </row>
    <row r="30" spans="1:18">
      <c r="A30" s="223">
        <v>20</v>
      </c>
      <c r="B30" s="609" t="s">
        <v>844</v>
      </c>
      <c r="C30" s="422">
        <v>48075.25</v>
      </c>
      <c r="D30" s="422">
        <v>11163</v>
      </c>
      <c r="E30" s="422">
        <v>910</v>
      </c>
      <c r="F30" s="422">
        <v>0</v>
      </c>
      <c r="G30" s="606">
        <f t="shared" si="0"/>
        <v>60148.25</v>
      </c>
      <c r="H30" s="607">
        <v>248</v>
      </c>
      <c r="I30" s="608">
        <f t="shared" si="1"/>
        <v>2237.5149000000001</v>
      </c>
      <c r="J30" s="608">
        <f t="shared" si="2"/>
        <v>1118.7574500000001</v>
      </c>
      <c r="K30" s="608">
        <f t="shared" si="3"/>
        <v>1118.7574500000001</v>
      </c>
      <c r="L30" s="608">
        <v>0</v>
      </c>
      <c r="M30" s="609"/>
      <c r="N30" s="609"/>
      <c r="O30" s="609"/>
      <c r="P30" s="609"/>
      <c r="Q30" s="609"/>
      <c r="R30" s="609"/>
    </row>
    <row r="31" spans="1:18">
      <c r="A31" s="223">
        <v>21</v>
      </c>
      <c r="B31" s="609" t="s">
        <v>845</v>
      </c>
      <c r="C31" s="422">
        <v>72470.75</v>
      </c>
      <c r="D31" s="422">
        <v>2585</v>
      </c>
      <c r="E31" s="422">
        <v>818</v>
      </c>
      <c r="F31" s="422">
        <v>112.5</v>
      </c>
      <c r="G31" s="606">
        <f t="shared" si="0"/>
        <v>75986.25</v>
      </c>
      <c r="H31" s="607">
        <v>248</v>
      </c>
      <c r="I31" s="608">
        <f t="shared" si="1"/>
        <v>2826.6885000000002</v>
      </c>
      <c r="J31" s="608">
        <f t="shared" si="2"/>
        <v>1413.3442500000001</v>
      </c>
      <c r="K31" s="608">
        <f t="shared" si="3"/>
        <v>1413.3442500000001</v>
      </c>
      <c r="L31" s="608">
        <v>0</v>
      </c>
      <c r="M31" s="609"/>
      <c r="N31" s="609"/>
      <c r="O31" s="609"/>
      <c r="P31" s="609"/>
      <c r="Q31" s="609"/>
      <c r="R31" s="609"/>
    </row>
    <row r="32" spans="1:18">
      <c r="A32" s="223">
        <v>22</v>
      </c>
      <c r="B32" s="609" t="s">
        <v>846</v>
      </c>
      <c r="C32" s="422">
        <v>46089.5</v>
      </c>
      <c r="D32" s="422">
        <v>102.75</v>
      </c>
      <c r="E32" s="422">
        <v>419</v>
      </c>
      <c r="F32" s="422">
        <v>0</v>
      </c>
      <c r="G32" s="606">
        <f t="shared" si="0"/>
        <v>46611.25</v>
      </c>
      <c r="H32" s="607">
        <v>248</v>
      </c>
      <c r="I32" s="608">
        <f t="shared" si="1"/>
        <v>1733.9385</v>
      </c>
      <c r="J32" s="608">
        <f t="shared" si="2"/>
        <v>866.96924999999999</v>
      </c>
      <c r="K32" s="608">
        <f t="shared" si="3"/>
        <v>866.96924999999999</v>
      </c>
      <c r="L32" s="608">
        <v>0</v>
      </c>
      <c r="M32" s="609"/>
      <c r="N32" s="609"/>
      <c r="O32" s="609"/>
      <c r="P32" s="609"/>
      <c r="Q32" s="609"/>
      <c r="R32" s="609"/>
    </row>
    <row r="33" spans="1:18">
      <c r="A33" s="223">
        <v>23</v>
      </c>
      <c r="B33" s="609" t="s">
        <v>847</v>
      </c>
      <c r="C33" s="422">
        <v>59638</v>
      </c>
      <c r="D33" s="422">
        <v>6781</v>
      </c>
      <c r="E33" s="422">
        <v>417</v>
      </c>
      <c r="F33" s="422">
        <v>0</v>
      </c>
      <c r="G33" s="606">
        <f t="shared" si="0"/>
        <v>66836</v>
      </c>
      <c r="H33" s="607">
        <v>248</v>
      </c>
      <c r="I33" s="608">
        <f t="shared" si="1"/>
        <v>2486.2991999999999</v>
      </c>
      <c r="J33" s="608">
        <f t="shared" si="2"/>
        <v>1243.1496</v>
      </c>
      <c r="K33" s="608">
        <f t="shared" si="3"/>
        <v>1243.1496</v>
      </c>
      <c r="L33" s="608">
        <v>0</v>
      </c>
      <c r="M33" s="609"/>
      <c r="N33" s="609"/>
      <c r="O33" s="609"/>
      <c r="P33" s="609"/>
      <c r="Q33" s="609"/>
      <c r="R33" s="609"/>
    </row>
    <row r="34" spans="1:18">
      <c r="A34" s="223">
        <v>24</v>
      </c>
      <c r="B34" s="609" t="s">
        <v>848</v>
      </c>
      <c r="C34" s="422">
        <v>43915.25</v>
      </c>
      <c r="D34" s="422">
        <v>0</v>
      </c>
      <c r="E34" s="422">
        <v>141</v>
      </c>
      <c r="F34" s="422">
        <v>0</v>
      </c>
      <c r="G34" s="606">
        <f t="shared" si="0"/>
        <v>44056.25</v>
      </c>
      <c r="H34" s="607">
        <v>248</v>
      </c>
      <c r="I34" s="608">
        <f t="shared" si="1"/>
        <v>1638.8924999999999</v>
      </c>
      <c r="J34" s="608">
        <f t="shared" si="2"/>
        <v>819.44624999999996</v>
      </c>
      <c r="K34" s="608">
        <f t="shared" si="3"/>
        <v>819.44624999999996</v>
      </c>
      <c r="L34" s="608">
        <v>0</v>
      </c>
      <c r="M34" s="609"/>
      <c r="N34" s="609"/>
      <c r="O34" s="609"/>
      <c r="P34" s="609"/>
      <c r="Q34" s="609"/>
      <c r="R34" s="609"/>
    </row>
    <row r="35" spans="1:18">
      <c r="A35" s="223">
        <v>25</v>
      </c>
      <c r="B35" s="609" t="s">
        <v>849</v>
      </c>
      <c r="C35" s="422">
        <v>25366.25</v>
      </c>
      <c r="D35" s="422">
        <v>560.75</v>
      </c>
      <c r="E35" s="422">
        <v>210</v>
      </c>
      <c r="F35" s="422">
        <v>0</v>
      </c>
      <c r="G35" s="606">
        <f t="shared" si="0"/>
        <v>26137</v>
      </c>
      <c r="H35" s="607">
        <v>248</v>
      </c>
      <c r="I35" s="608">
        <f t="shared" si="1"/>
        <v>972.29639999999995</v>
      </c>
      <c r="J35" s="608">
        <f t="shared" si="2"/>
        <v>486.14819999999997</v>
      </c>
      <c r="K35" s="608">
        <f t="shared" si="3"/>
        <v>486.14819999999997</v>
      </c>
      <c r="L35" s="608">
        <v>0</v>
      </c>
      <c r="M35" s="609"/>
      <c r="N35" s="609"/>
      <c r="O35" s="609"/>
      <c r="P35" s="609"/>
      <c r="Q35" s="609"/>
      <c r="R35" s="609"/>
    </row>
    <row r="36" spans="1:18">
      <c r="A36" s="223">
        <v>26</v>
      </c>
      <c r="B36" s="609" t="s">
        <v>850</v>
      </c>
      <c r="C36" s="422">
        <v>26675</v>
      </c>
      <c r="D36" s="422">
        <v>442.5</v>
      </c>
      <c r="E36" s="422">
        <v>176</v>
      </c>
      <c r="F36" s="422">
        <v>0</v>
      </c>
      <c r="G36" s="606">
        <f t="shared" si="0"/>
        <v>27293.5</v>
      </c>
      <c r="H36" s="607">
        <v>248</v>
      </c>
      <c r="I36" s="608">
        <f t="shared" si="1"/>
        <v>1015.3182</v>
      </c>
      <c r="J36" s="608">
        <f t="shared" si="2"/>
        <v>507.65910000000002</v>
      </c>
      <c r="K36" s="608">
        <f t="shared" si="3"/>
        <v>507.65910000000002</v>
      </c>
      <c r="L36" s="608">
        <v>0</v>
      </c>
      <c r="M36" s="609"/>
      <c r="N36" s="609"/>
      <c r="O36" s="609"/>
      <c r="P36" s="609"/>
      <c r="Q36" s="609"/>
      <c r="R36" s="609"/>
    </row>
    <row r="37" spans="1:18">
      <c r="A37" s="223">
        <v>27</v>
      </c>
      <c r="B37" s="609" t="s">
        <v>851</v>
      </c>
      <c r="C37" s="422">
        <v>60177</v>
      </c>
      <c r="D37" s="422">
        <v>0</v>
      </c>
      <c r="E37" s="422">
        <v>146</v>
      </c>
      <c r="F37" s="422">
        <v>0</v>
      </c>
      <c r="G37" s="606">
        <f t="shared" si="0"/>
        <v>60323</v>
      </c>
      <c r="H37" s="607">
        <v>248</v>
      </c>
      <c r="I37" s="608">
        <f t="shared" si="1"/>
        <v>2244.0156000000002</v>
      </c>
      <c r="J37" s="608">
        <f t="shared" si="2"/>
        <v>1122.0078000000001</v>
      </c>
      <c r="K37" s="608">
        <f t="shared" si="3"/>
        <v>1122.0078000000001</v>
      </c>
      <c r="L37" s="608">
        <v>0</v>
      </c>
      <c r="M37" s="609"/>
      <c r="N37" s="609"/>
      <c r="O37" s="609"/>
      <c r="P37" s="609"/>
      <c r="Q37" s="609"/>
      <c r="R37" s="609"/>
    </row>
    <row r="38" spans="1:18">
      <c r="A38" s="223">
        <v>28</v>
      </c>
      <c r="B38" s="609" t="s">
        <v>852</v>
      </c>
      <c r="C38" s="422">
        <v>23430.5</v>
      </c>
      <c r="D38" s="422">
        <v>0</v>
      </c>
      <c r="E38" s="422">
        <v>156</v>
      </c>
      <c r="F38" s="422">
        <v>0</v>
      </c>
      <c r="G38" s="606">
        <f t="shared" si="0"/>
        <v>23586.5</v>
      </c>
      <c r="H38" s="607">
        <v>248</v>
      </c>
      <c r="I38" s="608">
        <f t="shared" si="1"/>
        <v>877.41780000000006</v>
      </c>
      <c r="J38" s="608">
        <f t="shared" si="2"/>
        <v>438.70890000000003</v>
      </c>
      <c r="K38" s="608">
        <f t="shared" si="3"/>
        <v>438.70890000000003</v>
      </c>
      <c r="L38" s="608">
        <v>0</v>
      </c>
      <c r="M38" s="609"/>
      <c r="N38" s="609"/>
      <c r="O38" s="609"/>
      <c r="P38" s="609"/>
      <c r="Q38" s="609"/>
      <c r="R38" s="609"/>
    </row>
    <row r="39" spans="1:18">
      <c r="A39" s="223">
        <v>29</v>
      </c>
      <c r="B39" s="609" t="s">
        <v>853</v>
      </c>
      <c r="C39" s="422">
        <v>38605</v>
      </c>
      <c r="D39" s="422">
        <v>0</v>
      </c>
      <c r="E39" s="422">
        <v>585</v>
      </c>
      <c r="F39" s="422">
        <v>0</v>
      </c>
      <c r="G39" s="606">
        <f t="shared" si="0"/>
        <v>39190</v>
      </c>
      <c r="H39" s="607">
        <v>248</v>
      </c>
      <c r="I39" s="608">
        <f t="shared" si="1"/>
        <v>1457.8679999999999</v>
      </c>
      <c r="J39" s="608">
        <f t="shared" si="2"/>
        <v>728.93399999999997</v>
      </c>
      <c r="K39" s="608">
        <f t="shared" si="3"/>
        <v>728.93399999999997</v>
      </c>
      <c r="L39" s="608">
        <v>0</v>
      </c>
      <c r="M39" s="609"/>
      <c r="N39" s="609"/>
      <c r="O39" s="609"/>
      <c r="P39" s="609"/>
      <c r="Q39" s="609"/>
      <c r="R39" s="609"/>
    </row>
    <row r="40" spans="1:18">
      <c r="A40" s="223">
        <v>30</v>
      </c>
      <c r="B40" s="609" t="s">
        <v>854</v>
      </c>
      <c r="C40" s="422">
        <v>18234.5</v>
      </c>
      <c r="D40" s="422">
        <v>0</v>
      </c>
      <c r="E40" s="422">
        <v>309</v>
      </c>
      <c r="F40" s="422">
        <v>0</v>
      </c>
      <c r="G40" s="606">
        <f t="shared" si="0"/>
        <v>18543.5</v>
      </c>
      <c r="H40" s="607">
        <v>248</v>
      </c>
      <c r="I40" s="608">
        <f t="shared" si="1"/>
        <v>689.81820000000005</v>
      </c>
      <c r="J40" s="608">
        <f t="shared" si="2"/>
        <v>344.90910000000002</v>
      </c>
      <c r="K40" s="608">
        <f t="shared" si="3"/>
        <v>344.90910000000002</v>
      </c>
      <c r="L40" s="608">
        <v>0</v>
      </c>
      <c r="M40" s="609"/>
      <c r="N40" s="609"/>
      <c r="O40" s="609"/>
      <c r="P40" s="609"/>
      <c r="Q40" s="609"/>
      <c r="R40" s="609"/>
    </row>
    <row r="41" spans="1:18">
      <c r="A41" s="223">
        <v>31</v>
      </c>
      <c r="B41" s="609" t="s">
        <v>855</v>
      </c>
      <c r="C41" s="422">
        <v>35531.75</v>
      </c>
      <c r="D41" s="422">
        <v>0</v>
      </c>
      <c r="E41" s="422">
        <v>454</v>
      </c>
      <c r="F41" s="422">
        <v>0</v>
      </c>
      <c r="G41" s="606">
        <f t="shared" si="0"/>
        <v>35985.75</v>
      </c>
      <c r="H41" s="607">
        <v>248</v>
      </c>
      <c r="I41" s="608">
        <f t="shared" si="1"/>
        <v>1338.6699000000001</v>
      </c>
      <c r="J41" s="608">
        <f t="shared" si="2"/>
        <v>669.33495000000005</v>
      </c>
      <c r="K41" s="608">
        <f t="shared" si="3"/>
        <v>669.33495000000005</v>
      </c>
      <c r="L41" s="608">
        <v>0</v>
      </c>
      <c r="M41" s="609"/>
      <c r="N41" s="609"/>
      <c r="O41" s="609"/>
      <c r="P41" s="609"/>
      <c r="Q41" s="609"/>
      <c r="R41" s="609"/>
    </row>
    <row r="42" spans="1:18">
      <c r="A42" s="223">
        <v>32</v>
      </c>
      <c r="B42" s="609" t="s">
        <v>856</v>
      </c>
      <c r="C42" s="422">
        <v>43538.75</v>
      </c>
      <c r="D42" s="422">
        <v>0</v>
      </c>
      <c r="E42" s="422">
        <v>75</v>
      </c>
      <c r="F42" s="422">
        <v>0</v>
      </c>
      <c r="G42" s="606">
        <f t="shared" si="0"/>
        <v>43613.75</v>
      </c>
      <c r="H42" s="607">
        <v>248</v>
      </c>
      <c r="I42" s="608">
        <f t="shared" si="1"/>
        <v>1622.4314999999999</v>
      </c>
      <c r="J42" s="608">
        <f t="shared" si="2"/>
        <v>811.21574999999996</v>
      </c>
      <c r="K42" s="608">
        <f t="shared" si="3"/>
        <v>811.21574999999996</v>
      </c>
      <c r="L42" s="608">
        <v>0</v>
      </c>
      <c r="M42" s="609"/>
      <c r="N42" s="609"/>
      <c r="O42" s="609"/>
      <c r="P42" s="609"/>
      <c r="Q42" s="609"/>
      <c r="R42" s="609"/>
    </row>
    <row r="43" spans="1:18">
      <c r="A43" s="225">
        <v>33</v>
      </c>
      <c r="B43" s="609" t="s">
        <v>857</v>
      </c>
      <c r="C43" s="422">
        <v>24781</v>
      </c>
      <c r="D43" s="422">
        <v>0</v>
      </c>
      <c r="E43" s="422">
        <v>448</v>
      </c>
      <c r="F43" s="422">
        <v>0</v>
      </c>
      <c r="G43" s="606">
        <f t="shared" si="0"/>
        <v>25229</v>
      </c>
      <c r="H43" s="607">
        <v>248</v>
      </c>
      <c r="I43" s="608">
        <f t="shared" si="1"/>
        <v>938.51880000000006</v>
      </c>
      <c r="J43" s="608">
        <f t="shared" si="2"/>
        <v>469.25940000000003</v>
      </c>
      <c r="K43" s="608">
        <f t="shared" si="3"/>
        <v>469.25940000000003</v>
      </c>
      <c r="L43" s="608">
        <v>0</v>
      </c>
      <c r="M43" s="609"/>
      <c r="N43" s="609"/>
      <c r="O43" s="609"/>
      <c r="P43" s="609"/>
      <c r="Q43" s="609"/>
      <c r="R43" s="609"/>
    </row>
    <row r="44" spans="1:18">
      <c r="A44" s="225" t="s">
        <v>7</v>
      </c>
      <c r="B44" s="609" t="s">
        <v>89</v>
      </c>
      <c r="C44" s="422">
        <f>SUM(C11:C43)</f>
        <v>1671625.25</v>
      </c>
      <c r="D44" s="422">
        <f t="shared" ref="D44:R44" si="4">SUM(D11:D43)</f>
        <v>35833.75</v>
      </c>
      <c r="E44" s="422">
        <f t="shared" si="4"/>
        <v>16816</v>
      </c>
      <c r="F44" s="422">
        <f t="shared" si="4"/>
        <v>112.5</v>
      </c>
      <c r="G44" s="422">
        <f t="shared" si="4"/>
        <v>1724387.5</v>
      </c>
      <c r="H44" s="609">
        <v>248</v>
      </c>
      <c r="I44" s="609">
        <f t="shared" si="4"/>
        <v>64147.215000000018</v>
      </c>
      <c r="J44" s="609">
        <f t="shared" si="4"/>
        <v>32073.607500000009</v>
      </c>
      <c r="K44" s="609">
        <f t="shared" si="4"/>
        <v>32073.607500000009</v>
      </c>
      <c r="L44" s="609">
        <f t="shared" si="4"/>
        <v>0</v>
      </c>
      <c r="M44" s="609">
        <f t="shared" si="4"/>
        <v>0</v>
      </c>
      <c r="N44" s="609">
        <f t="shared" si="4"/>
        <v>0</v>
      </c>
      <c r="O44" s="609">
        <f t="shared" si="4"/>
        <v>0</v>
      </c>
      <c r="P44" s="609">
        <f t="shared" si="4"/>
        <v>0</v>
      </c>
      <c r="Q44" s="609">
        <f t="shared" si="4"/>
        <v>0</v>
      </c>
      <c r="R44" s="609">
        <f t="shared" si="4"/>
        <v>0</v>
      </c>
    </row>
    <row r="45" spans="1:18">
      <c r="A45" s="226"/>
      <c r="B45" s="226"/>
      <c r="C45" s="226"/>
      <c r="D45" s="226"/>
      <c r="E45" s="226"/>
      <c r="F45" s="226"/>
      <c r="G45" s="226"/>
      <c r="H45" s="226"/>
      <c r="I45" s="222"/>
      <c r="J45" s="222"/>
      <c r="K45" s="222"/>
      <c r="L45" s="222"/>
      <c r="M45" s="222"/>
      <c r="N45" s="222"/>
      <c r="O45" s="222"/>
      <c r="P45" s="222"/>
      <c r="Q45" s="222"/>
      <c r="R45" s="222"/>
    </row>
    <row r="46" spans="1:18">
      <c r="A46" s="227" t="s">
        <v>8</v>
      </c>
      <c r="B46" s="228"/>
      <c r="C46" s="228"/>
      <c r="D46" s="226"/>
      <c r="E46" s="226"/>
      <c r="F46" s="226"/>
      <c r="G46" s="226"/>
      <c r="H46" s="226"/>
      <c r="I46" s="222"/>
      <c r="J46" s="222"/>
      <c r="K46" s="222"/>
      <c r="L46" s="222"/>
      <c r="M46" s="222"/>
      <c r="N46" s="222"/>
      <c r="O46" s="222"/>
      <c r="P46" s="222"/>
      <c r="Q46" s="222"/>
      <c r="R46" s="222"/>
    </row>
    <row r="47" spans="1:18">
      <c r="A47" s="229" t="s">
        <v>9</v>
      </c>
      <c r="B47" s="229"/>
      <c r="C47" s="229"/>
      <c r="I47" s="222"/>
      <c r="J47" s="222"/>
      <c r="K47" s="222"/>
      <c r="L47" s="222"/>
      <c r="M47" s="222"/>
      <c r="N47" s="222"/>
      <c r="O47" s="222"/>
      <c r="P47" s="222"/>
      <c r="Q47" s="222"/>
      <c r="R47" s="222"/>
    </row>
    <row r="48" spans="1:18">
      <c r="A48" s="229" t="s">
        <v>10</v>
      </c>
      <c r="B48" s="229"/>
      <c r="C48" s="229"/>
      <c r="I48" s="222"/>
      <c r="J48" s="222"/>
      <c r="K48" s="222"/>
      <c r="L48" s="222"/>
      <c r="M48" s="222"/>
      <c r="N48" s="222"/>
      <c r="O48" s="222"/>
      <c r="P48" s="222"/>
      <c r="Q48" s="222"/>
      <c r="R48" s="222"/>
    </row>
    <row r="49" spans="1:18">
      <c r="A49" s="229"/>
      <c r="B49" s="229"/>
      <c r="C49" s="229"/>
      <c r="I49" s="222"/>
      <c r="J49" s="222"/>
      <c r="K49" s="222"/>
      <c r="L49" s="222"/>
      <c r="M49" s="222"/>
      <c r="N49" s="222"/>
      <c r="O49" s="222"/>
      <c r="P49" s="222"/>
      <c r="Q49" s="222"/>
      <c r="R49" s="222"/>
    </row>
    <row r="50" spans="1:18">
      <c r="A50" s="229"/>
      <c r="B50" s="229"/>
      <c r="C50" s="229"/>
      <c r="I50" s="222"/>
      <c r="J50" s="222"/>
      <c r="K50" s="222"/>
      <c r="L50" s="222"/>
      <c r="M50" s="222"/>
      <c r="N50" s="222"/>
      <c r="O50" s="222"/>
      <c r="P50" s="222"/>
      <c r="Q50" s="222"/>
      <c r="R50" s="222"/>
    </row>
    <row r="51" spans="1:18">
      <c r="A51" s="229"/>
      <c r="H51" s="229"/>
      <c r="I51" s="222"/>
      <c r="J51" s="229"/>
      <c r="K51" s="229"/>
      <c r="L51" s="229"/>
      <c r="M51" s="229"/>
      <c r="N51" s="229"/>
      <c r="O51" s="229"/>
      <c r="P51" s="229"/>
      <c r="Q51" s="229"/>
      <c r="R51" s="229"/>
    </row>
    <row r="52" spans="1:18" s="994" customFormat="1" ht="15.6" customHeight="1">
      <c r="A52" s="15" t="s">
        <v>12</v>
      </c>
      <c r="B52" s="15"/>
      <c r="C52" s="15"/>
      <c r="N52" s="1040" t="s">
        <v>1106</v>
      </c>
      <c r="O52" s="1040"/>
      <c r="P52" s="1040"/>
    </row>
    <row r="53" spans="1:18" s="994" customFormat="1" ht="15.6" customHeight="1">
      <c r="N53" s="1040" t="s">
        <v>481</v>
      </c>
      <c r="O53" s="1040"/>
      <c r="P53" s="1040"/>
    </row>
    <row r="54" spans="1:18" s="994" customFormat="1" ht="15.6" customHeight="1">
      <c r="N54" s="1040" t="s">
        <v>1107</v>
      </c>
      <c r="O54" s="1040"/>
      <c r="P54" s="1040"/>
    </row>
    <row r="56" spans="1:18">
      <c r="A56" s="1525"/>
      <c r="B56" s="1525"/>
      <c r="C56" s="1525"/>
      <c r="D56" s="1525"/>
      <c r="E56" s="1525"/>
      <c r="F56" s="1525"/>
      <c r="G56" s="1525"/>
      <c r="H56" s="1525"/>
      <c r="I56" s="1525"/>
      <c r="J56" s="1525"/>
      <c r="K56" s="1525"/>
      <c r="L56" s="1525"/>
      <c r="M56" s="1525"/>
      <c r="N56" s="1525"/>
      <c r="O56" s="1525"/>
      <c r="P56" s="1525"/>
      <c r="Q56" s="1525"/>
      <c r="R56" s="1525"/>
    </row>
  </sheetData>
  <mergeCells count="18">
    <mergeCell ref="A56:R56"/>
    <mergeCell ref="A7:B7"/>
    <mergeCell ref="L7:R7"/>
    <mergeCell ref="N52:P52"/>
    <mergeCell ref="N53:P53"/>
    <mergeCell ref="N54:P54"/>
    <mergeCell ref="Q1:R1"/>
    <mergeCell ref="A8:A9"/>
    <mergeCell ref="B8:B9"/>
    <mergeCell ref="C8:G8"/>
    <mergeCell ref="H8:H9"/>
    <mergeCell ref="G1:I1"/>
    <mergeCell ref="A2:R2"/>
    <mergeCell ref="A3:R3"/>
    <mergeCell ref="A4:R5"/>
    <mergeCell ref="A6:R6"/>
    <mergeCell ref="I8:L8"/>
    <mergeCell ref="M8:R8"/>
  </mergeCells>
  <printOptions horizontalCentered="1"/>
  <pageMargins left="0.70866141732283472" right="0.70866141732283472" top="0.63" bottom="0" header="0.79" footer="0.31496062992125984"/>
  <pageSetup paperSize="9" scale="74" orientation="landscape" r:id="rId1"/>
</worksheet>
</file>

<file path=xl/worksheets/sheet59.xml><?xml version="1.0" encoding="utf-8"?>
<worksheet xmlns="http://schemas.openxmlformats.org/spreadsheetml/2006/main" xmlns:r="http://schemas.openxmlformats.org/officeDocument/2006/relationships">
  <sheetPr>
    <pageSetUpPr fitToPage="1"/>
  </sheetPr>
  <dimension ref="A1:P56"/>
  <sheetViews>
    <sheetView view="pageBreakPreview" topLeftCell="A3" zoomScaleNormal="70" zoomScaleSheetLayoutView="100" workbookViewId="0">
      <selection activeCell="A3" sqref="A3:N3"/>
    </sheetView>
  </sheetViews>
  <sheetFormatPr defaultColWidth="9.28515625" defaultRowHeight="12.75"/>
  <cols>
    <col min="1" max="1" width="5.42578125" style="222" customWidth="1"/>
    <col min="2" max="2" width="15.7109375" style="222" bestFit="1" customWidth="1"/>
    <col min="3" max="3" width="10.28515625" style="222" customWidth="1"/>
    <col min="4" max="4" width="12.7109375" style="222" customWidth="1"/>
    <col min="5" max="5" width="8.7109375" style="214" customWidth="1"/>
    <col min="6" max="7" width="8" style="214" customWidth="1"/>
    <col min="8" max="10" width="8.28515625" style="214" customWidth="1"/>
    <col min="11" max="11" width="8.42578125" style="214" customWidth="1"/>
    <col min="12" max="12" width="8.28515625" style="214" customWidth="1"/>
    <col min="13" max="13" width="8.7109375" style="214" customWidth="1"/>
    <col min="14" max="14" width="8.28515625" style="214" customWidth="1"/>
    <col min="15" max="16384" width="9.28515625" style="214"/>
  </cols>
  <sheetData>
    <row r="1" spans="1:16" ht="12.75" customHeight="1">
      <c r="D1" s="1512"/>
      <c r="E1" s="1512"/>
      <c r="F1" s="222"/>
      <c r="G1" s="222"/>
      <c r="H1" s="222"/>
      <c r="I1" s="222"/>
      <c r="J1" s="222"/>
      <c r="K1" s="222"/>
      <c r="L1" s="222"/>
      <c r="M1" s="1514" t="s">
        <v>536</v>
      </c>
      <c r="N1" s="1514"/>
      <c r="O1" s="222"/>
      <c r="P1" s="222"/>
    </row>
    <row r="2" spans="1:16" ht="15.75">
      <c r="A2" s="1523" t="s">
        <v>0</v>
      </c>
      <c r="B2" s="1523"/>
      <c r="C2" s="1523"/>
      <c r="D2" s="1523"/>
      <c r="E2" s="1523"/>
      <c r="F2" s="1523"/>
      <c r="G2" s="1523"/>
      <c r="H2" s="1523"/>
      <c r="I2" s="1523"/>
      <c r="J2" s="1523"/>
      <c r="K2" s="1523"/>
      <c r="L2" s="1523"/>
      <c r="M2" s="1523"/>
      <c r="N2" s="1523"/>
      <c r="O2" s="222"/>
      <c r="P2" s="222"/>
    </row>
    <row r="3" spans="1:16" ht="18">
      <c r="A3" s="1524" t="s">
        <v>636</v>
      </c>
      <c r="B3" s="1524"/>
      <c r="C3" s="1524"/>
      <c r="D3" s="1524"/>
      <c r="E3" s="1524"/>
      <c r="F3" s="1524"/>
      <c r="G3" s="1524"/>
      <c r="H3" s="1524"/>
      <c r="I3" s="1524"/>
      <c r="J3" s="1524"/>
      <c r="K3" s="1524"/>
      <c r="L3" s="1524"/>
      <c r="M3" s="1524"/>
      <c r="N3" s="1524"/>
      <c r="O3" s="222"/>
      <c r="P3" s="222"/>
    </row>
    <row r="4" spans="1:16" ht="12.75" customHeight="1">
      <c r="A4" s="1526" t="s">
        <v>715</v>
      </c>
      <c r="B4" s="1526"/>
      <c r="C4" s="1526"/>
      <c r="D4" s="1526"/>
      <c r="E4" s="1526"/>
      <c r="F4" s="1526"/>
      <c r="G4" s="1526"/>
      <c r="H4" s="1526"/>
      <c r="I4" s="1526"/>
      <c r="J4" s="1526"/>
      <c r="K4" s="1526"/>
      <c r="L4" s="1526"/>
      <c r="M4" s="1526"/>
      <c r="N4" s="1526"/>
      <c r="O4" s="222"/>
      <c r="P4" s="222"/>
    </row>
    <row r="5" spans="1:16" s="215" customFormat="1" ht="7.5" customHeight="1">
      <c r="A5" s="1526"/>
      <c r="B5" s="1526"/>
      <c r="C5" s="1526"/>
      <c r="D5" s="1526"/>
      <c r="E5" s="1526"/>
      <c r="F5" s="1526"/>
      <c r="G5" s="1526"/>
      <c r="H5" s="1526"/>
      <c r="I5" s="1526"/>
      <c r="J5" s="1526"/>
      <c r="K5" s="1526"/>
      <c r="L5" s="1526"/>
      <c r="M5" s="1526"/>
      <c r="N5" s="1526"/>
      <c r="O5" s="449"/>
      <c r="P5" s="449"/>
    </row>
    <row r="6" spans="1:16">
      <c r="A6" s="1513"/>
      <c r="B6" s="1513"/>
      <c r="C6" s="1513"/>
      <c r="D6" s="1513"/>
      <c r="E6" s="1513"/>
      <c r="F6" s="1513"/>
      <c r="G6" s="1513"/>
      <c r="H6" s="1513"/>
      <c r="I6" s="1513"/>
      <c r="J6" s="1513"/>
      <c r="K6" s="1513"/>
      <c r="L6" s="1513"/>
      <c r="M6" s="1513"/>
      <c r="N6" s="1513"/>
      <c r="O6" s="222"/>
      <c r="P6" s="222"/>
    </row>
    <row r="7" spans="1:16">
      <c r="A7" s="1520" t="s">
        <v>1047</v>
      </c>
      <c r="B7" s="1520"/>
      <c r="D7" s="273"/>
      <c r="E7" s="222"/>
      <c r="F7" s="222"/>
      <c r="G7" s="222"/>
      <c r="H7" s="1515"/>
      <c r="I7" s="1515"/>
      <c r="J7" s="1515"/>
      <c r="K7" s="1515"/>
      <c r="L7" s="1515"/>
      <c r="M7" s="1515"/>
      <c r="N7" s="1515"/>
      <c r="O7" s="222"/>
      <c r="P7" s="222"/>
    </row>
    <row r="8" spans="1:16" ht="30.75" customHeight="1">
      <c r="A8" s="1516" t="s">
        <v>2</v>
      </c>
      <c r="B8" s="1516" t="s">
        <v>3</v>
      </c>
      <c r="C8" s="1542" t="s">
        <v>488</v>
      </c>
      <c r="D8" s="1521" t="s">
        <v>84</v>
      </c>
      <c r="E8" s="1517" t="s">
        <v>85</v>
      </c>
      <c r="F8" s="1518"/>
      <c r="G8" s="1518"/>
      <c r="H8" s="1519"/>
      <c r="I8" s="1517" t="s">
        <v>707</v>
      </c>
      <c r="J8" s="1518"/>
      <c r="K8" s="1518"/>
      <c r="L8" s="1518"/>
      <c r="M8" s="1518"/>
      <c r="N8" s="1518"/>
      <c r="O8" s="222"/>
      <c r="P8" s="222"/>
    </row>
    <row r="9" spans="1:16" s="827" customFormat="1" ht="44.45" customHeight="1">
      <c r="A9" s="1516"/>
      <c r="B9" s="1516"/>
      <c r="C9" s="1543"/>
      <c r="D9" s="1522"/>
      <c r="E9" s="780" t="s">
        <v>959</v>
      </c>
      <c r="F9" s="780" t="s">
        <v>960</v>
      </c>
      <c r="G9" s="780" t="s">
        <v>961</v>
      </c>
      <c r="H9" s="780" t="s">
        <v>962</v>
      </c>
      <c r="I9" s="780" t="s">
        <v>18</v>
      </c>
      <c r="J9" s="780" t="s">
        <v>708</v>
      </c>
      <c r="K9" s="780" t="s">
        <v>709</v>
      </c>
      <c r="L9" s="780" t="s">
        <v>710</v>
      </c>
      <c r="M9" s="780" t="s">
        <v>711</v>
      </c>
      <c r="N9" s="780" t="s">
        <v>712</v>
      </c>
      <c r="O9" s="1005"/>
      <c r="P9" s="1005"/>
    </row>
    <row r="10" spans="1:16" s="216" customFormat="1">
      <c r="A10" s="271">
        <v>1</v>
      </c>
      <c r="B10" s="271">
        <v>2</v>
      </c>
      <c r="C10" s="271">
        <v>3</v>
      </c>
      <c r="D10" s="271">
        <v>8</v>
      </c>
      <c r="E10" s="271">
        <v>9</v>
      </c>
      <c r="F10" s="271">
        <v>10</v>
      </c>
      <c r="G10" s="271">
        <v>11</v>
      </c>
      <c r="H10" s="271">
        <v>12</v>
      </c>
      <c r="I10" s="271">
        <v>13</v>
      </c>
      <c r="J10" s="271">
        <v>14</v>
      </c>
      <c r="K10" s="271">
        <v>15</v>
      </c>
      <c r="L10" s="271">
        <v>16</v>
      </c>
      <c r="M10" s="271">
        <v>17</v>
      </c>
      <c r="N10" s="271">
        <v>18</v>
      </c>
      <c r="O10" s="229"/>
      <c r="P10" s="229"/>
    </row>
    <row r="11" spans="1:16" s="216" customFormat="1">
      <c r="A11" s="271">
        <v>1</v>
      </c>
      <c r="B11" s="271" t="s">
        <v>825</v>
      </c>
      <c r="C11" s="271"/>
      <c r="D11" s="274"/>
      <c r="E11" s="271"/>
      <c r="F11" s="271"/>
      <c r="G11" s="271"/>
      <c r="H11" s="271"/>
      <c r="I11" s="271"/>
      <c r="J11" s="271"/>
      <c r="K11" s="271"/>
      <c r="L11" s="271"/>
      <c r="M11" s="271"/>
      <c r="N11" s="271"/>
      <c r="O11" s="229"/>
      <c r="P11" s="229"/>
    </row>
    <row r="12" spans="1:16" s="216" customFormat="1">
      <c r="A12" s="271">
        <v>2</v>
      </c>
      <c r="B12" s="271" t="s">
        <v>826</v>
      </c>
      <c r="C12" s="271"/>
      <c r="D12" s="274"/>
      <c r="E12" s="271"/>
      <c r="F12" s="271"/>
      <c r="G12" s="271"/>
      <c r="H12" s="271"/>
      <c r="I12" s="271"/>
      <c r="J12" s="271"/>
      <c r="K12" s="271"/>
      <c r="L12" s="271"/>
      <c r="M12" s="271"/>
      <c r="N12" s="271"/>
      <c r="O12" s="229"/>
      <c r="P12" s="229"/>
    </row>
    <row r="13" spans="1:16" s="216" customFormat="1">
      <c r="A13" s="271">
        <v>3</v>
      </c>
      <c r="B13" s="271" t="s">
        <v>827</v>
      </c>
      <c r="C13" s="271"/>
      <c r="D13" s="274"/>
      <c r="E13" s="271"/>
      <c r="F13" s="271"/>
      <c r="G13" s="271"/>
      <c r="H13" s="271"/>
      <c r="I13" s="271"/>
      <c r="J13" s="271"/>
      <c r="K13" s="271"/>
      <c r="L13" s="271"/>
      <c r="M13" s="271"/>
      <c r="N13" s="271"/>
      <c r="O13" s="229"/>
      <c r="P13" s="229"/>
    </row>
    <row r="14" spans="1:16" s="216" customFormat="1">
      <c r="A14" s="271">
        <v>4</v>
      </c>
      <c r="B14" s="271" t="s">
        <v>828</v>
      </c>
      <c r="C14" s="271"/>
      <c r="D14" s="274"/>
      <c r="E14" s="271"/>
      <c r="F14" s="271"/>
      <c r="G14" s="271"/>
      <c r="H14" s="271"/>
      <c r="I14" s="271"/>
      <c r="J14" s="271"/>
      <c r="K14" s="271"/>
      <c r="L14" s="271"/>
      <c r="M14" s="271"/>
      <c r="N14" s="271"/>
      <c r="O14" s="229"/>
      <c r="P14" s="229"/>
    </row>
    <row r="15" spans="1:16" s="216" customFormat="1">
      <c r="A15" s="271">
        <v>5</v>
      </c>
      <c r="B15" s="271" t="s">
        <v>829</v>
      </c>
      <c r="C15" s="271"/>
      <c r="D15" s="274"/>
      <c r="E15" s="271"/>
      <c r="F15" s="271"/>
      <c r="G15" s="271"/>
      <c r="H15" s="271"/>
      <c r="I15" s="271"/>
      <c r="J15" s="271"/>
      <c r="K15" s="271"/>
      <c r="L15" s="271"/>
      <c r="M15" s="271"/>
      <c r="N15" s="271"/>
      <c r="O15" s="229"/>
      <c r="P15" s="229"/>
    </row>
    <row r="16" spans="1:16" s="216" customFormat="1">
      <c r="A16" s="271">
        <v>6</v>
      </c>
      <c r="B16" s="271" t="s">
        <v>830</v>
      </c>
      <c r="C16" s="271"/>
      <c r="D16" s="274"/>
      <c r="E16" s="271"/>
      <c r="F16" s="271"/>
      <c r="G16" s="271"/>
      <c r="H16" s="271"/>
      <c r="I16" s="271"/>
      <c r="J16" s="271"/>
      <c r="K16" s="271"/>
      <c r="L16" s="271"/>
      <c r="M16" s="271"/>
      <c r="N16" s="271"/>
      <c r="O16" s="229"/>
      <c r="P16" s="229"/>
    </row>
    <row r="17" spans="1:16" s="216" customFormat="1">
      <c r="A17" s="271">
        <v>7</v>
      </c>
      <c r="B17" s="271" t="s">
        <v>831</v>
      </c>
      <c r="C17" s="271"/>
      <c r="D17" s="274"/>
      <c r="E17" s="271"/>
      <c r="F17" s="271"/>
      <c r="G17" s="271"/>
      <c r="H17" s="271"/>
      <c r="I17" s="271"/>
      <c r="J17" s="271"/>
      <c r="K17" s="271"/>
      <c r="L17" s="271"/>
      <c r="M17" s="271"/>
      <c r="N17" s="271"/>
      <c r="O17" s="229"/>
      <c r="P17" s="229"/>
    </row>
    <row r="18" spans="1:16" s="216" customFormat="1">
      <c r="A18" s="271">
        <v>8</v>
      </c>
      <c r="B18" s="271" t="s">
        <v>832</v>
      </c>
      <c r="C18" s="271"/>
      <c r="D18" s="1533" t="s">
        <v>936</v>
      </c>
      <c r="E18" s="1534"/>
      <c r="F18" s="1534"/>
      <c r="G18" s="1534"/>
      <c r="H18" s="1534"/>
      <c r="I18" s="1534"/>
      <c r="J18" s="1534"/>
      <c r="K18" s="1534"/>
      <c r="L18" s="1534"/>
      <c r="M18" s="1534"/>
      <c r="N18" s="1535"/>
      <c r="O18" s="229"/>
      <c r="P18" s="229"/>
    </row>
    <row r="19" spans="1:16" s="216" customFormat="1">
      <c r="A19" s="271">
        <v>9</v>
      </c>
      <c r="B19" s="271" t="s">
        <v>833</v>
      </c>
      <c r="C19" s="271"/>
      <c r="D19" s="1536"/>
      <c r="E19" s="1537"/>
      <c r="F19" s="1537"/>
      <c r="G19" s="1537"/>
      <c r="H19" s="1537"/>
      <c r="I19" s="1537"/>
      <c r="J19" s="1537"/>
      <c r="K19" s="1537"/>
      <c r="L19" s="1537"/>
      <c r="M19" s="1537"/>
      <c r="N19" s="1538"/>
      <c r="O19" s="229"/>
      <c r="P19" s="229"/>
    </row>
    <row r="20" spans="1:16" s="216" customFormat="1">
      <c r="A20" s="271">
        <v>10</v>
      </c>
      <c r="B20" s="271" t="s">
        <v>834</v>
      </c>
      <c r="C20" s="271"/>
      <c r="D20" s="1536"/>
      <c r="E20" s="1537"/>
      <c r="F20" s="1537"/>
      <c r="G20" s="1537"/>
      <c r="H20" s="1537"/>
      <c r="I20" s="1537"/>
      <c r="J20" s="1537"/>
      <c r="K20" s="1537"/>
      <c r="L20" s="1537"/>
      <c r="M20" s="1537"/>
      <c r="N20" s="1538"/>
      <c r="O20" s="229"/>
      <c r="P20" s="229"/>
    </row>
    <row r="21" spans="1:16" s="216" customFormat="1">
      <c r="A21" s="271">
        <v>11</v>
      </c>
      <c r="B21" s="271" t="s">
        <v>835</v>
      </c>
      <c r="C21" s="271"/>
      <c r="D21" s="1536"/>
      <c r="E21" s="1537"/>
      <c r="F21" s="1537"/>
      <c r="G21" s="1537"/>
      <c r="H21" s="1537"/>
      <c r="I21" s="1537"/>
      <c r="J21" s="1537"/>
      <c r="K21" s="1537"/>
      <c r="L21" s="1537"/>
      <c r="M21" s="1537"/>
      <c r="N21" s="1538"/>
      <c r="O21" s="229"/>
      <c r="P21" s="229"/>
    </row>
    <row r="22" spans="1:16" s="216" customFormat="1">
      <c r="A22" s="271">
        <v>12</v>
      </c>
      <c r="B22" s="271" t="s">
        <v>836</v>
      </c>
      <c r="C22" s="271"/>
      <c r="D22" s="1536"/>
      <c r="E22" s="1537"/>
      <c r="F22" s="1537"/>
      <c r="G22" s="1537"/>
      <c r="H22" s="1537"/>
      <c r="I22" s="1537"/>
      <c r="J22" s="1537"/>
      <c r="K22" s="1537"/>
      <c r="L22" s="1537"/>
      <c r="M22" s="1537"/>
      <c r="N22" s="1538"/>
      <c r="O22" s="229"/>
      <c r="P22" s="229"/>
    </row>
    <row r="23" spans="1:16" s="216" customFormat="1">
      <c r="A23" s="271">
        <v>13</v>
      </c>
      <c r="B23" s="271" t="s">
        <v>837</v>
      </c>
      <c r="C23" s="271"/>
      <c r="D23" s="1536"/>
      <c r="E23" s="1537"/>
      <c r="F23" s="1537"/>
      <c r="G23" s="1537"/>
      <c r="H23" s="1537"/>
      <c r="I23" s="1537"/>
      <c r="J23" s="1537"/>
      <c r="K23" s="1537"/>
      <c r="L23" s="1537"/>
      <c r="M23" s="1537"/>
      <c r="N23" s="1538"/>
      <c r="O23" s="229"/>
      <c r="P23" s="229"/>
    </row>
    <row r="24" spans="1:16" s="216" customFormat="1">
      <c r="A24" s="271">
        <v>14</v>
      </c>
      <c r="B24" s="271" t="s">
        <v>838</v>
      </c>
      <c r="C24" s="271"/>
      <c r="D24" s="1536"/>
      <c r="E24" s="1537"/>
      <c r="F24" s="1537"/>
      <c r="G24" s="1537"/>
      <c r="H24" s="1537"/>
      <c r="I24" s="1537"/>
      <c r="J24" s="1537"/>
      <c r="K24" s="1537"/>
      <c r="L24" s="1537"/>
      <c r="M24" s="1537"/>
      <c r="N24" s="1538"/>
      <c r="O24" s="229"/>
      <c r="P24" s="229"/>
    </row>
    <row r="25" spans="1:16" s="216" customFormat="1">
      <c r="A25" s="271">
        <v>15</v>
      </c>
      <c r="B25" s="271" t="s">
        <v>839</v>
      </c>
      <c r="C25" s="271"/>
      <c r="D25" s="1536"/>
      <c r="E25" s="1537"/>
      <c r="F25" s="1537"/>
      <c r="G25" s="1537"/>
      <c r="H25" s="1537"/>
      <c r="I25" s="1537"/>
      <c r="J25" s="1537"/>
      <c r="K25" s="1537"/>
      <c r="L25" s="1537"/>
      <c r="M25" s="1537"/>
      <c r="N25" s="1538"/>
      <c r="O25" s="229"/>
      <c r="P25" s="229"/>
    </row>
    <row r="26" spans="1:16" s="216" customFormat="1">
      <c r="A26" s="271">
        <v>16</v>
      </c>
      <c r="B26" s="271" t="s">
        <v>840</v>
      </c>
      <c r="C26" s="271"/>
      <c r="D26" s="1536"/>
      <c r="E26" s="1537"/>
      <c r="F26" s="1537"/>
      <c r="G26" s="1537"/>
      <c r="H26" s="1537"/>
      <c r="I26" s="1537"/>
      <c r="J26" s="1537"/>
      <c r="K26" s="1537"/>
      <c r="L26" s="1537"/>
      <c r="M26" s="1537"/>
      <c r="N26" s="1538"/>
      <c r="O26" s="229"/>
      <c r="P26" s="229"/>
    </row>
    <row r="27" spans="1:16" s="216" customFormat="1">
      <c r="A27" s="271">
        <v>17</v>
      </c>
      <c r="B27" s="271" t="s">
        <v>841</v>
      </c>
      <c r="C27" s="271"/>
      <c r="D27" s="1536"/>
      <c r="E27" s="1537"/>
      <c r="F27" s="1537"/>
      <c r="G27" s="1537"/>
      <c r="H27" s="1537"/>
      <c r="I27" s="1537"/>
      <c r="J27" s="1537"/>
      <c r="K27" s="1537"/>
      <c r="L27" s="1537"/>
      <c r="M27" s="1537"/>
      <c r="N27" s="1538"/>
      <c r="O27" s="229"/>
      <c r="P27" s="229"/>
    </row>
    <row r="28" spans="1:16" s="216" customFormat="1">
      <c r="A28" s="271">
        <v>18</v>
      </c>
      <c r="B28" s="271" t="s">
        <v>842</v>
      </c>
      <c r="C28" s="271"/>
      <c r="D28" s="1536"/>
      <c r="E28" s="1537"/>
      <c r="F28" s="1537"/>
      <c r="G28" s="1537"/>
      <c r="H28" s="1537"/>
      <c r="I28" s="1537"/>
      <c r="J28" s="1537"/>
      <c r="K28" s="1537"/>
      <c r="L28" s="1537"/>
      <c r="M28" s="1537"/>
      <c r="N28" s="1538"/>
      <c r="O28" s="229"/>
      <c r="P28" s="229"/>
    </row>
    <row r="29" spans="1:16" s="216" customFormat="1">
      <c r="A29" s="271">
        <v>19</v>
      </c>
      <c r="B29" s="271" t="s">
        <v>843</v>
      </c>
      <c r="C29" s="271"/>
      <c r="D29" s="1536"/>
      <c r="E29" s="1537"/>
      <c r="F29" s="1537"/>
      <c r="G29" s="1537"/>
      <c r="H29" s="1537"/>
      <c r="I29" s="1537"/>
      <c r="J29" s="1537"/>
      <c r="K29" s="1537"/>
      <c r="L29" s="1537"/>
      <c r="M29" s="1537"/>
      <c r="N29" s="1538"/>
      <c r="O29" s="229"/>
      <c r="P29" s="229"/>
    </row>
    <row r="30" spans="1:16" s="216" customFormat="1">
      <c r="A30" s="271">
        <v>20</v>
      </c>
      <c r="B30" s="271" t="s">
        <v>844</v>
      </c>
      <c r="C30" s="271"/>
      <c r="D30" s="1536"/>
      <c r="E30" s="1537"/>
      <c r="F30" s="1537"/>
      <c r="G30" s="1537"/>
      <c r="H30" s="1537"/>
      <c r="I30" s="1537"/>
      <c r="J30" s="1537"/>
      <c r="K30" s="1537"/>
      <c r="L30" s="1537"/>
      <c r="M30" s="1537"/>
      <c r="N30" s="1538"/>
      <c r="O30" s="229"/>
      <c r="P30" s="229"/>
    </row>
    <row r="31" spans="1:16" s="216" customFormat="1">
      <c r="A31" s="271">
        <v>21</v>
      </c>
      <c r="B31" s="271" t="s">
        <v>845</v>
      </c>
      <c r="C31" s="271"/>
      <c r="D31" s="1539"/>
      <c r="E31" s="1540"/>
      <c r="F31" s="1540"/>
      <c r="G31" s="1540"/>
      <c r="H31" s="1540"/>
      <c r="I31" s="1540"/>
      <c r="J31" s="1540"/>
      <c r="K31" s="1540"/>
      <c r="L31" s="1540"/>
      <c r="M31" s="1540"/>
      <c r="N31" s="1541"/>
      <c r="O31" s="229"/>
      <c r="P31" s="229"/>
    </row>
    <row r="32" spans="1:16" s="216" customFormat="1">
      <c r="A32" s="271">
        <v>22</v>
      </c>
      <c r="B32" s="271" t="s">
        <v>846</v>
      </c>
      <c r="C32" s="271"/>
      <c r="D32" s="274"/>
      <c r="E32" s="271"/>
      <c r="F32" s="271"/>
      <c r="G32" s="271"/>
      <c r="H32" s="271"/>
      <c r="I32" s="271"/>
      <c r="J32" s="271"/>
      <c r="K32" s="271"/>
      <c r="L32" s="271"/>
      <c r="M32" s="271"/>
      <c r="N32" s="271"/>
      <c r="O32" s="229"/>
      <c r="P32" s="229"/>
    </row>
    <row r="33" spans="1:16" s="216" customFormat="1">
      <c r="A33" s="271">
        <v>23</v>
      </c>
      <c r="B33" s="271" t="s">
        <v>847</v>
      </c>
      <c r="C33" s="271"/>
      <c r="D33" s="274"/>
      <c r="E33" s="271"/>
      <c r="F33" s="271"/>
      <c r="G33" s="271"/>
      <c r="H33" s="271"/>
      <c r="I33" s="271"/>
      <c r="J33" s="271"/>
      <c r="K33" s="271"/>
      <c r="L33" s="271"/>
      <c r="M33" s="271"/>
      <c r="N33" s="271"/>
      <c r="O33" s="229"/>
      <c r="P33" s="229"/>
    </row>
    <row r="34" spans="1:16" s="216" customFormat="1">
      <c r="A34" s="271">
        <v>24</v>
      </c>
      <c r="B34" s="271" t="s">
        <v>848</v>
      </c>
      <c r="C34" s="271"/>
      <c r="D34" s="274"/>
      <c r="E34" s="271"/>
      <c r="F34" s="271"/>
      <c r="G34" s="271"/>
      <c r="H34" s="271"/>
      <c r="I34" s="271"/>
      <c r="J34" s="271"/>
      <c r="K34" s="271"/>
      <c r="L34" s="271"/>
      <c r="M34" s="271"/>
      <c r="N34" s="271"/>
      <c r="O34" s="229"/>
      <c r="P34" s="229"/>
    </row>
    <row r="35" spans="1:16" s="216" customFormat="1">
      <c r="A35" s="271">
        <v>25</v>
      </c>
      <c r="B35" s="271" t="s">
        <v>849</v>
      </c>
      <c r="C35" s="271"/>
      <c r="D35" s="274"/>
      <c r="E35" s="271"/>
      <c r="F35" s="271"/>
      <c r="G35" s="271"/>
      <c r="H35" s="271"/>
      <c r="I35" s="271"/>
      <c r="J35" s="271"/>
      <c r="K35" s="271"/>
      <c r="L35" s="271"/>
      <c r="M35" s="271"/>
      <c r="N35" s="271"/>
      <c r="O35" s="229"/>
      <c r="P35" s="229"/>
    </row>
    <row r="36" spans="1:16" s="216" customFormat="1">
      <c r="A36" s="271">
        <v>26</v>
      </c>
      <c r="B36" s="271" t="s">
        <v>850</v>
      </c>
      <c r="C36" s="271"/>
      <c r="D36" s="274"/>
      <c r="E36" s="271"/>
      <c r="F36" s="271"/>
      <c r="G36" s="271"/>
      <c r="H36" s="271"/>
      <c r="I36" s="271"/>
      <c r="J36" s="271"/>
      <c r="K36" s="271"/>
      <c r="L36" s="271"/>
      <c r="M36" s="271"/>
      <c r="N36" s="271"/>
      <c r="O36" s="229"/>
      <c r="P36" s="229"/>
    </row>
    <row r="37" spans="1:16" s="216" customFormat="1">
      <c r="A37" s="271">
        <v>27</v>
      </c>
      <c r="B37" s="271" t="s">
        <v>851</v>
      </c>
      <c r="C37" s="271"/>
      <c r="D37" s="274"/>
      <c r="E37" s="271"/>
      <c r="F37" s="271"/>
      <c r="G37" s="271"/>
      <c r="H37" s="271"/>
      <c r="I37" s="271"/>
      <c r="J37" s="271"/>
      <c r="K37" s="271"/>
      <c r="L37" s="271"/>
      <c r="M37" s="271"/>
      <c r="N37" s="271"/>
      <c r="O37" s="229"/>
      <c r="P37" s="229"/>
    </row>
    <row r="38" spans="1:16" s="216" customFormat="1">
      <c r="A38" s="271">
        <v>28</v>
      </c>
      <c r="B38" s="271" t="s">
        <v>852</v>
      </c>
      <c r="C38" s="271"/>
      <c r="D38" s="274"/>
      <c r="E38" s="271"/>
      <c r="F38" s="271"/>
      <c r="G38" s="271"/>
      <c r="H38" s="271"/>
      <c r="I38" s="271"/>
      <c r="J38" s="271"/>
      <c r="K38" s="271"/>
      <c r="L38" s="271"/>
      <c r="M38" s="271"/>
      <c r="N38" s="271"/>
      <c r="O38" s="229"/>
      <c r="P38" s="229"/>
    </row>
    <row r="39" spans="1:16">
      <c r="A39" s="223">
        <v>29</v>
      </c>
      <c r="B39" s="454" t="s">
        <v>853</v>
      </c>
      <c r="C39" s="224"/>
      <c r="D39" s="244"/>
      <c r="E39" s="224"/>
      <c r="F39" s="224"/>
      <c r="G39" s="224"/>
      <c r="H39" s="224"/>
      <c r="I39" s="224"/>
      <c r="J39" s="224"/>
      <c r="K39" s="224"/>
      <c r="L39" s="224"/>
      <c r="M39" s="224"/>
      <c r="N39" s="224"/>
      <c r="O39" s="222"/>
      <c r="P39" s="222"/>
    </row>
    <row r="40" spans="1:16">
      <c r="A40" s="223">
        <v>30</v>
      </c>
      <c r="B40" s="454" t="s">
        <v>854</v>
      </c>
      <c r="C40" s="224"/>
      <c r="D40" s="244"/>
      <c r="E40" s="224"/>
      <c r="F40" s="224"/>
      <c r="G40" s="224"/>
      <c r="H40" s="224"/>
      <c r="I40" s="224"/>
      <c r="J40" s="224"/>
      <c r="K40" s="224"/>
      <c r="L40" s="224"/>
      <c r="M40" s="224"/>
      <c r="N40" s="224"/>
      <c r="O40" s="222"/>
      <c r="P40" s="222"/>
    </row>
    <row r="41" spans="1:16">
      <c r="A41" s="223">
        <v>31</v>
      </c>
      <c r="B41" s="454" t="s">
        <v>855</v>
      </c>
      <c r="C41" s="224"/>
      <c r="D41" s="244"/>
      <c r="E41" s="224"/>
      <c r="F41" s="224"/>
      <c r="G41" s="224"/>
      <c r="H41" s="224"/>
      <c r="I41" s="224"/>
      <c r="J41" s="224"/>
      <c r="K41" s="224"/>
      <c r="L41" s="224"/>
      <c r="M41" s="224"/>
      <c r="N41" s="224"/>
      <c r="O41" s="222"/>
      <c r="P41" s="222"/>
    </row>
    <row r="42" spans="1:16">
      <c r="A42" s="223">
        <v>32</v>
      </c>
      <c r="B42" s="454" t="s">
        <v>856</v>
      </c>
      <c r="C42" s="224"/>
      <c r="D42" s="244"/>
      <c r="E42" s="224"/>
      <c r="F42" s="224"/>
      <c r="G42" s="224"/>
      <c r="H42" s="224"/>
      <c r="I42" s="224"/>
      <c r="J42" s="224"/>
      <c r="K42" s="224"/>
      <c r="L42" s="224"/>
      <c r="M42" s="224"/>
      <c r="N42" s="224"/>
      <c r="O42" s="222"/>
      <c r="P42" s="222"/>
    </row>
    <row r="43" spans="1:16">
      <c r="A43" s="223">
        <v>33</v>
      </c>
      <c r="B43" s="454" t="s">
        <v>857</v>
      </c>
      <c r="C43" s="224"/>
      <c r="D43" s="244"/>
      <c r="E43" s="224"/>
      <c r="F43" s="224"/>
      <c r="G43" s="224"/>
      <c r="H43" s="224"/>
      <c r="I43" s="224"/>
      <c r="J43" s="224"/>
      <c r="K43" s="224"/>
      <c r="L43" s="224"/>
      <c r="M43" s="224"/>
      <c r="N43" s="224"/>
      <c r="O43" s="222"/>
      <c r="P43" s="222"/>
    </row>
    <row r="44" spans="1:16">
      <c r="A44" s="225" t="s">
        <v>7</v>
      </c>
      <c r="B44" s="224"/>
      <c r="C44" s="224"/>
      <c r="D44" s="244"/>
      <c r="E44" s="224"/>
      <c r="F44" s="224"/>
      <c r="G44" s="224"/>
      <c r="H44" s="224"/>
      <c r="I44" s="224"/>
      <c r="J44" s="224"/>
      <c r="K44" s="224"/>
      <c r="L44" s="224"/>
      <c r="M44" s="224"/>
      <c r="N44" s="224"/>
      <c r="O44" s="222"/>
      <c r="P44" s="222"/>
    </row>
    <row r="45" spans="1:16">
      <c r="A45" s="226"/>
      <c r="B45" s="226"/>
      <c r="C45" s="226"/>
      <c r="D45" s="226"/>
      <c r="E45" s="222"/>
      <c r="F45" s="222"/>
      <c r="G45" s="222"/>
      <c r="H45" s="222"/>
      <c r="I45" s="222"/>
      <c r="J45" s="222"/>
      <c r="K45" s="222"/>
      <c r="L45" s="222"/>
      <c r="M45" s="222"/>
      <c r="N45" s="222"/>
      <c r="O45" s="222"/>
      <c r="P45" s="222"/>
    </row>
    <row r="46" spans="1:16">
      <c r="A46" s="227" t="s">
        <v>8</v>
      </c>
      <c r="B46" s="228"/>
      <c r="C46" s="228"/>
      <c r="D46" s="226"/>
      <c r="E46" s="222"/>
      <c r="F46" s="222"/>
      <c r="G46" s="222"/>
      <c r="H46" s="222"/>
      <c r="I46" s="222"/>
      <c r="J46" s="222"/>
      <c r="K46" s="222"/>
      <c r="L46" s="222"/>
      <c r="M46" s="222"/>
      <c r="N46" s="222"/>
      <c r="O46" s="222"/>
      <c r="P46" s="222"/>
    </row>
    <row r="47" spans="1:16">
      <c r="A47" s="229" t="s">
        <v>9</v>
      </c>
      <c r="B47" s="229"/>
      <c r="C47" s="229"/>
      <c r="E47" s="222"/>
      <c r="F47" s="222"/>
      <c r="G47" s="222"/>
      <c r="H47" s="222"/>
      <c r="I47" s="222"/>
      <c r="J47" s="222"/>
      <c r="K47" s="222"/>
      <c r="L47" s="222"/>
      <c r="M47" s="222"/>
      <c r="N47" s="222"/>
      <c r="O47" s="222"/>
      <c r="P47" s="222"/>
    </row>
    <row r="48" spans="1:16">
      <c r="A48" s="229" t="s">
        <v>10</v>
      </c>
      <c r="B48" s="229"/>
      <c r="C48" s="229"/>
      <c r="E48" s="222"/>
      <c r="F48" s="222"/>
      <c r="G48" s="222"/>
      <c r="H48" s="222"/>
      <c r="I48" s="222"/>
      <c r="J48" s="222"/>
      <c r="K48" s="222"/>
      <c r="L48" s="222"/>
      <c r="M48" s="222"/>
      <c r="N48" s="222"/>
      <c r="O48" s="222"/>
      <c r="P48" s="222"/>
    </row>
    <row r="49" spans="1:16">
      <c r="A49" s="229"/>
      <c r="B49" s="229"/>
      <c r="C49" s="229"/>
      <c r="E49" s="222"/>
      <c r="F49" s="222"/>
      <c r="G49" s="222"/>
      <c r="H49" s="222"/>
      <c r="I49" s="222"/>
      <c r="J49" s="222"/>
      <c r="K49" s="222"/>
      <c r="L49" s="222"/>
      <c r="M49" s="222"/>
      <c r="N49" s="222"/>
      <c r="O49" s="222"/>
      <c r="P49" s="222"/>
    </row>
    <row r="50" spans="1:16">
      <c r="A50" s="229"/>
      <c r="B50" s="229"/>
      <c r="C50" s="229"/>
      <c r="E50" s="222"/>
      <c r="F50" s="222"/>
      <c r="G50" s="222"/>
      <c r="H50" s="222"/>
      <c r="I50" s="222"/>
      <c r="J50" s="222"/>
      <c r="K50" s="222"/>
      <c r="L50" s="222"/>
      <c r="M50" s="222"/>
      <c r="N50" s="222"/>
      <c r="O50" s="222"/>
      <c r="P50" s="222"/>
    </row>
    <row r="51" spans="1:16" s="994" customFormat="1" ht="15.6" customHeight="1">
      <c r="A51" s="15" t="s">
        <v>12</v>
      </c>
      <c r="B51" s="15"/>
      <c r="C51" s="15"/>
      <c r="N51" s="1040" t="s">
        <v>1106</v>
      </c>
      <c r="O51" s="1040"/>
      <c r="P51" s="1040"/>
    </row>
    <row r="52" spans="1:16" s="994" customFormat="1" ht="15.6" customHeight="1">
      <c r="N52" s="1040" t="s">
        <v>481</v>
      </c>
      <c r="O52" s="1040"/>
      <c r="P52" s="1040"/>
    </row>
    <row r="53" spans="1:16" s="994" customFormat="1" ht="15.6" customHeight="1">
      <c r="N53" s="1040" t="s">
        <v>1107</v>
      </c>
      <c r="O53" s="1040"/>
      <c r="P53" s="1040"/>
    </row>
    <row r="54" spans="1:16">
      <c r="A54" s="229"/>
      <c r="B54" s="229"/>
      <c r="E54" s="222"/>
      <c r="F54" s="229"/>
      <c r="G54" s="229"/>
      <c r="H54" s="229"/>
      <c r="I54" s="229"/>
      <c r="J54" s="229"/>
      <c r="K54" s="229"/>
      <c r="L54" s="229"/>
      <c r="M54" s="229"/>
      <c r="N54" s="229"/>
    </row>
    <row r="56" spans="1:16">
      <c r="A56" s="1525"/>
      <c r="B56" s="1525"/>
      <c r="C56" s="1525"/>
      <c r="D56" s="1525"/>
      <c r="E56" s="1525"/>
      <c r="F56" s="1525"/>
      <c r="G56" s="1525"/>
      <c r="H56" s="1525"/>
      <c r="I56" s="1525"/>
      <c r="J56" s="1525"/>
      <c r="K56" s="1525"/>
      <c r="L56" s="1525"/>
      <c r="M56" s="1525"/>
      <c r="N56" s="1525"/>
    </row>
  </sheetData>
  <mergeCells count="19">
    <mergeCell ref="A6:N6"/>
    <mergeCell ref="D1:E1"/>
    <mergeCell ref="M1:N1"/>
    <mergeCell ref="A2:N2"/>
    <mergeCell ref="A3:N3"/>
    <mergeCell ref="A4:N5"/>
    <mergeCell ref="A7:B7"/>
    <mergeCell ref="H7:N7"/>
    <mergeCell ref="A8:A9"/>
    <mergeCell ref="B8:B9"/>
    <mergeCell ref="D8:D9"/>
    <mergeCell ref="E8:H8"/>
    <mergeCell ref="I8:N8"/>
    <mergeCell ref="D18:N31"/>
    <mergeCell ref="A56:N56"/>
    <mergeCell ref="C8:C9"/>
    <mergeCell ref="N51:P51"/>
    <mergeCell ref="N52:P52"/>
    <mergeCell ref="N53:P53"/>
  </mergeCells>
  <printOptions horizontalCentered="1"/>
  <pageMargins left="0.70866141732283472" right="0.70866141732283472" top="0.63" bottom="0" header="0.79"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F30"/>
  <sheetViews>
    <sheetView topLeftCell="L14" zoomScale="70" zoomScaleNormal="70" zoomScaleSheetLayoutView="80" workbookViewId="0">
      <selection activeCell="S28" sqref="S28:U30"/>
    </sheetView>
  </sheetViews>
  <sheetFormatPr defaultColWidth="9.140625" defaultRowHeight="12.75"/>
  <cols>
    <col min="1" max="1" width="12.140625" style="165" customWidth="1"/>
    <col min="2" max="2" width="26.28515625" style="165" bestFit="1" customWidth="1"/>
    <col min="3" max="3" width="10.5703125" style="165" bestFit="1" customWidth="1"/>
    <col min="4" max="5" width="9.28515625" style="165" bestFit="1" customWidth="1"/>
    <col min="6" max="6" width="19" style="165" customWidth="1"/>
    <col min="7" max="7" width="12.7109375" style="165" customWidth="1"/>
    <col min="8" max="9" width="9.28515625" style="165" bestFit="1" customWidth="1"/>
    <col min="10" max="10" width="12.42578125" style="165" bestFit="1" customWidth="1"/>
    <col min="11" max="11" width="10.5703125" style="165" bestFit="1" customWidth="1"/>
    <col min="12" max="13" width="9.28515625" style="165" bestFit="1" customWidth="1"/>
    <col min="14" max="14" width="12.42578125" style="165" bestFit="1" customWidth="1"/>
    <col min="15" max="15" width="10.5703125" style="165" bestFit="1" customWidth="1"/>
    <col min="16" max="17" width="9.28515625" style="165" bestFit="1" customWidth="1"/>
    <col min="18" max="18" width="12.42578125" style="165" bestFit="1" customWidth="1"/>
    <col min="19" max="19" width="10.5703125" style="165" bestFit="1" customWidth="1"/>
    <col min="20" max="21" width="9.28515625" style="165" bestFit="1" customWidth="1"/>
    <col min="22" max="22" width="13.85546875" style="165" customWidth="1"/>
    <col min="23" max="16384" width="9.140625" style="165"/>
  </cols>
  <sheetData>
    <row r="1" spans="1:24" ht="15">
      <c r="V1" s="166" t="s">
        <v>541</v>
      </c>
    </row>
    <row r="2" spans="1:24" ht="15.75">
      <c r="G2" s="116" t="s">
        <v>0</v>
      </c>
      <c r="H2" s="116"/>
      <c r="I2" s="116"/>
      <c r="O2" s="81"/>
      <c r="P2" s="81"/>
      <c r="Q2" s="81"/>
      <c r="R2" s="81"/>
    </row>
    <row r="3" spans="1:24" ht="20.25">
      <c r="C3" s="1155" t="s">
        <v>636</v>
      </c>
      <c r="D3" s="1155"/>
      <c r="E3" s="1155"/>
      <c r="F3" s="1155"/>
      <c r="G3" s="1155"/>
      <c r="H3" s="1155"/>
      <c r="I3" s="1155"/>
      <c r="J3" s="1155"/>
      <c r="K3" s="1155"/>
      <c r="L3" s="1155"/>
      <c r="M3" s="1155"/>
      <c r="N3" s="1155"/>
      <c r="O3" s="120"/>
      <c r="P3" s="120"/>
      <c r="Q3" s="120"/>
      <c r="R3" s="120"/>
      <c r="S3" s="120"/>
      <c r="T3" s="120"/>
      <c r="U3" s="120"/>
      <c r="V3" s="120"/>
      <c r="W3" s="120"/>
      <c r="X3" s="120"/>
    </row>
    <row r="4" spans="1:24" ht="18">
      <c r="C4" s="167"/>
      <c r="D4" s="167"/>
      <c r="E4" s="167"/>
      <c r="F4" s="167"/>
      <c r="G4" s="167"/>
      <c r="H4" s="167"/>
      <c r="I4" s="167"/>
      <c r="J4" s="167"/>
      <c r="K4" s="167"/>
      <c r="L4" s="167"/>
      <c r="M4" s="167"/>
      <c r="N4" s="167"/>
      <c r="O4" s="167"/>
      <c r="P4" s="167"/>
      <c r="Q4" s="167"/>
      <c r="R4" s="167"/>
      <c r="S4" s="167"/>
      <c r="T4" s="167"/>
      <c r="U4" s="167"/>
      <c r="V4" s="167"/>
    </row>
    <row r="5" spans="1:24" ht="15.75">
      <c r="B5" s="1156" t="s">
        <v>639</v>
      </c>
      <c r="C5" s="1156"/>
      <c r="D5" s="1156"/>
      <c r="E5" s="1156"/>
      <c r="F5" s="1156"/>
      <c r="G5" s="1156"/>
      <c r="H5" s="1156"/>
      <c r="I5" s="1156"/>
      <c r="J5" s="1156"/>
      <c r="K5" s="1156"/>
      <c r="L5" s="1156"/>
      <c r="M5" s="1156"/>
      <c r="N5" s="1156"/>
      <c r="O5" s="1156"/>
      <c r="P5" s="1156"/>
      <c r="Q5" s="1156"/>
      <c r="R5" s="1156"/>
      <c r="S5" s="1156"/>
      <c r="T5" s="82"/>
      <c r="U5" s="1172" t="s">
        <v>257</v>
      </c>
      <c r="V5" s="1173"/>
    </row>
    <row r="6" spans="1:24" ht="15">
      <c r="K6" s="81"/>
      <c r="L6" s="81"/>
      <c r="M6" s="81"/>
      <c r="N6" s="81"/>
      <c r="O6" s="81"/>
      <c r="P6" s="81"/>
      <c r="Q6" s="81"/>
      <c r="R6" s="81"/>
    </row>
    <row r="7" spans="1:24">
      <c r="A7" s="1174" t="s">
        <v>1061</v>
      </c>
      <c r="B7" s="1174"/>
      <c r="O7" s="1175" t="s">
        <v>791</v>
      </c>
      <c r="P7" s="1175"/>
      <c r="Q7" s="1175"/>
      <c r="R7" s="1175"/>
      <c r="S7" s="1175"/>
      <c r="T7" s="1175"/>
      <c r="U7" s="1175"/>
      <c r="V7" s="1175"/>
    </row>
    <row r="8" spans="1:24" ht="35.25" customHeight="1">
      <c r="A8" s="1154" t="s">
        <v>2</v>
      </c>
      <c r="B8" s="1154" t="s">
        <v>147</v>
      </c>
      <c r="C8" s="1153" t="s">
        <v>148</v>
      </c>
      <c r="D8" s="1153"/>
      <c r="E8" s="1153"/>
      <c r="F8" s="1153" t="s">
        <v>149</v>
      </c>
      <c r="G8" s="1154" t="s">
        <v>180</v>
      </c>
      <c r="H8" s="1154"/>
      <c r="I8" s="1154"/>
      <c r="J8" s="1154"/>
      <c r="K8" s="1154"/>
      <c r="L8" s="1154"/>
      <c r="M8" s="1154"/>
      <c r="N8" s="1154"/>
      <c r="O8" s="1154" t="s">
        <v>181</v>
      </c>
      <c r="P8" s="1154"/>
      <c r="Q8" s="1154"/>
      <c r="R8" s="1154"/>
      <c r="S8" s="1154"/>
      <c r="T8" s="1154"/>
      <c r="U8" s="1154"/>
      <c r="V8" s="1154"/>
    </row>
    <row r="9" spans="1:24" ht="15">
      <c r="A9" s="1154"/>
      <c r="B9" s="1154"/>
      <c r="C9" s="1153" t="s">
        <v>258</v>
      </c>
      <c r="D9" s="1153" t="s">
        <v>44</v>
      </c>
      <c r="E9" s="1153" t="s">
        <v>45</v>
      </c>
      <c r="F9" s="1153"/>
      <c r="G9" s="1154" t="s">
        <v>182</v>
      </c>
      <c r="H9" s="1154"/>
      <c r="I9" s="1154"/>
      <c r="J9" s="1154"/>
      <c r="K9" s="1154" t="s">
        <v>166</v>
      </c>
      <c r="L9" s="1154"/>
      <c r="M9" s="1154"/>
      <c r="N9" s="1154"/>
      <c r="O9" s="1154" t="s">
        <v>150</v>
      </c>
      <c r="P9" s="1154"/>
      <c r="Q9" s="1154"/>
      <c r="R9" s="1154"/>
      <c r="S9" s="1154" t="s">
        <v>165</v>
      </c>
      <c r="T9" s="1154"/>
      <c r="U9" s="1154"/>
      <c r="V9" s="1154"/>
    </row>
    <row r="10" spans="1:24">
      <c r="A10" s="1154"/>
      <c r="B10" s="1154"/>
      <c r="C10" s="1153"/>
      <c r="D10" s="1153"/>
      <c r="E10" s="1153"/>
      <c r="F10" s="1153"/>
      <c r="G10" s="1157" t="s">
        <v>151</v>
      </c>
      <c r="H10" s="1158"/>
      <c r="I10" s="1159"/>
      <c r="J10" s="1163" t="s">
        <v>152</v>
      </c>
      <c r="K10" s="1166" t="s">
        <v>151</v>
      </c>
      <c r="L10" s="1167"/>
      <c r="M10" s="1168"/>
      <c r="N10" s="1163" t="s">
        <v>152</v>
      </c>
      <c r="O10" s="1166" t="s">
        <v>151</v>
      </c>
      <c r="P10" s="1167"/>
      <c r="Q10" s="1168"/>
      <c r="R10" s="1163" t="s">
        <v>152</v>
      </c>
      <c r="S10" s="1166" t="s">
        <v>151</v>
      </c>
      <c r="T10" s="1167"/>
      <c r="U10" s="1168"/>
      <c r="V10" s="1163" t="s">
        <v>152</v>
      </c>
    </row>
    <row r="11" spans="1:24" ht="15" customHeight="1">
      <c r="A11" s="1154"/>
      <c r="B11" s="1154"/>
      <c r="C11" s="1153"/>
      <c r="D11" s="1153"/>
      <c r="E11" s="1153"/>
      <c r="F11" s="1153"/>
      <c r="G11" s="1160"/>
      <c r="H11" s="1161"/>
      <c r="I11" s="1162"/>
      <c r="J11" s="1164"/>
      <c r="K11" s="1169"/>
      <c r="L11" s="1170"/>
      <c r="M11" s="1171"/>
      <c r="N11" s="1164"/>
      <c r="O11" s="1169"/>
      <c r="P11" s="1170"/>
      <c r="Q11" s="1171"/>
      <c r="R11" s="1164"/>
      <c r="S11" s="1169"/>
      <c r="T11" s="1170"/>
      <c r="U11" s="1171"/>
      <c r="V11" s="1164"/>
    </row>
    <row r="12" spans="1:24" ht="15">
      <c r="A12" s="1154"/>
      <c r="B12" s="1154"/>
      <c r="C12" s="1153"/>
      <c r="D12" s="1153"/>
      <c r="E12" s="1153"/>
      <c r="F12" s="1153"/>
      <c r="G12" s="169" t="s">
        <v>258</v>
      </c>
      <c r="H12" s="169" t="s">
        <v>44</v>
      </c>
      <c r="I12" s="170" t="s">
        <v>45</v>
      </c>
      <c r="J12" s="1165"/>
      <c r="K12" s="168" t="s">
        <v>258</v>
      </c>
      <c r="L12" s="168" t="s">
        <v>44</v>
      </c>
      <c r="M12" s="168" t="s">
        <v>45</v>
      </c>
      <c r="N12" s="1165"/>
      <c r="O12" s="168" t="s">
        <v>258</v>
      </c>
      <c r="P12" s="168" t="s">
        <v>44</v>
      </c>
      <c r="Q12" s="168" t="s">
        <v>45</v>
      </c>
      <c r="R12" s="1165"/>
      <c r="S12" s="168" t="s">
        <v>258</v>
      </c>
      <c r="T12" s="168" t="s">
        <v>44</v>
      </c>
      <c r="U12" s="168" t="s">
        <v>45</v>
      </c>
      <c r="V12" s="1165"/>
    </row>
    <row r="13" spans="1:24" ht="15">
      <c r="A13" s="168">
        <v>1</v>
      </c>
      <c r="B13" s="168">
        <v>2</v>
      </c>
      <c r="C13" s="168">
        <v>3</v>
      </c>
      <c r="D13" s="168">
        <v>4</v>
      </c>
      <c r="E13" s="168">
        <v>5</v>
      </c>
      <c r="F13" s="168">
        <v>6</v>
      </c>
      <c r="G13" s="168">
        <v>7</v>
      </c>
      <c r="H13" s="168">
        <v>8</v>
      </c>
      <c r="I13" s="168">
        <v>9</v>
      </c>
      <c r="J13" s="168">
        <v>10</v>
      </c>
      <c r="K13" s="168">
        <v>11</v>
      </c>
      <c r="L13" s="168">
        <v>12</v>
      </c>
      <c r="M13" s="168">
        <v>13</v>
      </c>
      <c r="N13" s="168">
        <v>14</v>
      </c>
      <c r="O13" s="168">
        <v>15</v>
      </c>
      <c r="P13" s="168">
        <v>16</v>
      </c>
      <c r="Q13" s="168">
        <v>17</v>
      </c>
      <c r="R13" s="168">
        <v>18</v>
      </c>
      <c r="S13" s="168">
        <v>19</v>
      </c>
      <c r="T13" s="168">
        <v>20</v>
      </c>
      <c r="U13" s="168">
        <v>21</v>
      </c>
      <c r="V13" s="168">
        <v>22</v>
      </c>
    </row>
    <row r="14" spans="1:24" ht="15">
      <c r="A14" s="1149" t="s">
        <v>214</v>
      </c>
      <c r="B14" s="1150"/>
      <c r="C14" s="168"/>
      <c r="D14" s="168"/>
      <c r="E14" s="168"/>
      <c r="F14" s="168"/>
      <c r="G14" s="168"/>
      <c r="H14" s="168"/>
      <c r="I14" s="168"/>
      <c r="J14" s="168"/>
      <c r="K14" s="168"/>
      <c r="L14" s="168"/>
      <c r="M14" s="168"/>
      <c r="N14" s="168"/>
      <c r="O14" s="168"/>
      <c r="P14" s="168"/>
      <c r="Q14" s="168"/>
      <c r="R14" s="168"/>
      <c r="S14" s="168"/>
      <c r="T14" s="168"/>
      <c r="U14" s="168"/>
      <c r="V14" s="168"/>
    </row>
    <row r="15" spans="1:24" ht="15">
      <c r="A15" s="168">
        <v>1</v>
      </c>
      <c r="B15" s="171" t="s">
        <v>213</v>
      </c>
      <c r="C15" s="172">
        <f>7743.98+4559.34</f>
        <v>12303.32</v>
      </c>
      <c r="D15" s="172">
        <f>745.84+439.12</f>
        <v>1184.96</v>
      </c>
      <c r="E15" s="172">
        <f>1783.44+1050.02</f>
        <v>2833.46</v>
      </c>
      <c r="F15" s="172" t="s">
        <v>1067</v>
      </c>
      <c r="G15" s="172">
        <f t="shared" ref="G15:I16" si="0">C15</f>
        <v>12303.32</v>
      </c>
      <c r="H15" s="172">
        <f t="shared" si="0"/>
        <v>1184.96</v>
      </c>
      <c r="I15" s="172">
        <f t="shared" si="0"/>
        <v>2833.46</v>
      </c>
      <c r="J15" s="172" t="s">
        <v>1068</v>
      </c>
      <c r="K15" s="686">
        <f t="shared" ref="K15:M16" si="1">G15</f>
        <v>12303.32</v>
      </c>
      <c r="L15" s="686">
        <f t="shared" si="1"/>
        <v>1184.96</v>
      </c>
      <c r="M15" s="686">
        <f t="shared" si="1"/>
        <v>2833.46</v>
      </c>
      <c r="N15" s="172" t="s">
        <v>1069</v>
      </c>
      <c r="O15" s="686">
        <v>12303.32</v>
      </c>
      <c r="P15" s="686">
        <v>1184.96</v>
      </c>
      <c r="Q15" s="686">
        <v>2833.46</v>
      </c>
      <c r="R15" s="172" t="s">
        <v>1070</v>
      </c>
      <c r="S15" s="686">
        <v>12303.32</v>
      </c>
      <c r="T15" s="686">
        <v>1184.96</v>
      </c>
      <c r="U15" s="686">
        <v>2833.46</v>
      </c>
      <c r="V15" s="172" t="s">
        <v>1071</v>
      </c>
    </row>
    <row r="16" spans="1:24" ht="15">
      <c r="A16" s="168">
        <v>2</v>
      </c>
      <c r="B16" s="171" t="s">
        <v>153</v>
      </c>
      <c r="C16" s="172">
        <f>10371.82+6135.8</f>
        <v>16507.62</v>
      </c>
      <c r="D16" s="172">
        <f>998.93+590.95</f>
        <v>1589.88</v>
      </c>
      <c r="E16" s="172">
        <f>2388.63+1413.07</f>
        <v>3801.7</v>
      </c>
      <c r="F16" s="687">
        <v>42983</v>
      </c>
      <c r="G16" s="172">
        <f t="shared" si="0"/>
        <v>16507.62</v>
      </c>
      <c r="H16" s="172">
        <f t="shared" si="0"/>
        <v>1589.88</v>
      </c>
      <c r="I16" s="172">
        <f t="shared" si="0"/>
        <v>3801.7</v>
      </c>
      <c r="J16" s="687">
        <v>43012</v>
      </c>
      <c r="K16" s="686">
        <f t="shared" si="1"/>
        <v>16507.62</v>
      </c>
      <c r="L16" s="686">
        <f t="shared" si="1"/>
        <v>1589.88</v>
      </c>
      <c r="M16" s="686">
        <f t="shared" si="1"/>
        <v>3801.7</v>
      </c>
      <c r="N16" s="687">
        <v>43013</v>
      </c>
      <c r="O16" s="686">
        <v>16507.62</v>
      </c>
      <c r="P16" s="686">
        <v>1589.88</v>
      </c>
      <c r="Q16" s="686">
        <v>3801.7</v>
      </c>
      <c r="R16" s="687">
        <v>43014</v>
      </c>
      <c r="S16" s="686">
        <v>16507.62</v>
      </c>
      <c r="T16" s="686">
        <v>1589.88</v>
      </c>
      <c r="U16" s="686">
        <v>3801.7</v>
      </c>
      <c r="V16" s="687">
        <v>43017</v>
      </c>
    </row>
    <row r="17" spans="1:32" ht="15">
      <c r="A17" s="168">
        <v>3</v>
      </c>
      <c r="B17" s="171" t="s">
        <v>154</v>
      </c>
      <c r="C17" s="172">
        <f>6180.11+3647.48</f>
        <v>9827.59</v>
      </c>
      <c r="D17" s="172">
        <f>595.22+351.3</f>
        <v>946.52</v>
      </c>
      <c r="E17" s="172">
        <f>1423.28+840.01</f>
        <v>2263.29</v>
      </c>
      <c r="F17" s="172" t="s">
        <v>1072</v>
      </c>
      <c r="G17" s="172">
        <v>9827.59</v>
      </c>
      <c r="H17" s="172">
        <v>946.52</v>
      </c>
      <c r="I17" s="172">
        <v>2263.29</v>
      </c>
      <c r="J17" s="172" t="s">
        <v>1073</v>
      </c>
      <c r="K17" s="172">
        <v>9827.59</v>
      </c>
      <c r="L17" s="172">
        <v>946.52</v>
      </c>
      <c r="M17" s="172">
        <v>2263.29</v>
      </c>
      <c r="N17" s="172" t="s">
        <v>1074</v>
      </c>
      <c r="O17" s="172">
        <v>9827.59</v>
      </c>
      <c r="P17" s="172">
        <v>946.52</v>
      </c>
      <c r="Q17" s="172">
        <v>2263.29</v>
      </c>
      <c r="R17" s="172" t="s">
        <v>1075</v>
      </c>
      <c r="S17" s="172">
        <v>9827.59</v>
      </c>
      <c r="T17" s="172">
        <v>946.52</v>
      </c>
      <c r="U17" s="172">
        <v>2263.29</v>
      </c>
      <c r="V17" s="172" t="s">
        <v>1076</v>
      </c>
    </row>
    <row r="18" spans="1:32" ht="15">
      <c r="A18" s="688"/>
      <c r="B18" s="171" t="s">
        <v>1077</v>
      </c>
      <c r="C18" s="172">
        <v>9827.59</v>
      </c>
      <c r="D18" s="172">
        <v>946.52</v>
      </c>
      <c r="E18" s="172">
        <v>2263.29</v>
      </c>
      <c r="F18" s="687">
        <v>43101</v>
      </c>
      <c r="G18" s="172">
        <v>9827.59</v>
      </c>
      <c r="H18" s="172">
        <v>946.52</v>
      </c>
      <c r="I18" s="172">
        <v>2263.29</v>
      </c>
      <c r="J18" s="687">
        <v>43221</v>
      </c>
      <c r="K18" s="172">
        <v>9827.59</v>
      </c>
      <c r="L18" s="172">
        <v>946.52</v>
      </c>
      <c r="M18" s="172">
        <v>2263.29</v>
      </c>
      <c r="N18" s="172" t="s">
        <v>1078</v>
      </c>
      <c r="O18" s="172">
        <v>9827.59</v>
      </c>
      <c r="P18" s="172">
        <v>946.52</v>
      </c>
      <c r="Q18" s="172">
        <v>2263.29</v>
      </c>
      <c r="R18" s="687">
        <v>43313</v>
      </c>
      <c r="S18" s="172">
        <v>9827.59</v>
      </c>
      <c r="T18" s="172">
        <v>946.52</v>
      </c>
      <c r="U18" s="172">
        <v>2263.29</v>
      </c>
      <c r="V18" s="687">
        <v>43344</v>
      </c>
    </row>
    <row r="19" spans="1:32" ht="15">
      <c r="A19" s="1149" t="s">
        <v>215</v>
      </c>
      <c r="B19" s="1150"/>
      <c r="C19" s="172"/>
      <c r="D19" s="172"/>
      <c r="E19" s="172"/>
      <c r="F19" s="172"/>
      <c r="G19" s="172"/>
      <c r="H19" s="172"/>
      <c r="I19" s="172"/>
      <c r="J19" s="172"/>
      <c r="K19" s="172"/>
      <c r="L19" s="172"/>
      <c r="M19" s="172"/>
      <c r="N19" s="172"/>
      <c r="O19" s="172"/>
      <c r="P19" s="172"/>
      <c r="Q19" s="172"/>
      <c r="R19" s="172"/>
      <c r="S19" s="172"/>
      <c r="T19" s="172"/>
      <c r="U19" s="172"/>
      <c r="V19" s="172"/>
    </row>
    <row r="20" spans="1:32" ht="15">
      <c r="A20" s="168">
        <v>4</v>
      </c>
      <c r="B20" s="171" t="s">
        <v>203</v>
      </c>
      <c r="C20" s="689">
        <v>0</v>
      </c>
      <c r="D20" s="689">
        <v>0</v>
      </c>
      <c r="E20" s="689">
        <v>0</v>
      </c>
      <c r="F20" s="689">
        <v>0</v>
      </c>
      <c r="G20" s="689">
        <v>0</v>
      </c>
      <c r="H20" s="689">
        <v>0</v>
      </c>
      <c r="I20" s="689">
        <v>0</v>
      </c>
      <c r="J20" s="689">
        <v>0</v>
      </c>
      <c r="K20" s="689">
        <v>0</v>
      </c>
      <c r="L20" s="689">
        <v>0</v>
      </c>
      <c r="M20" s="689">
        <v>0</v>
      </c>
      <c r="N20" s="689">
        <v>0</v>
      </c>
      <c r="O20" s="689">
        <v>0</v>
      </c>
      <c r="P20" s="689">
        <v>0</v>
      </c>
      <c r="Q20" s="689">
        <v>0</v>
      </c>
      <c r="R20" s="689">
        <v>0</v>
      </c>
      <c r="S20" s="689">
        <v>0</v>
      </c>
      <c r="T20" s="689">
        <v>0</v>
      </c>
      <c r="U20" s="689">
        <v>0</v>
      </c>
      <c r="V20" s="689">
        <v>0</v>
      </c>
    </row>
    <row r="21" spans="1:32" ht="15">
      <c r="A21" s="168">
        <v>5</v>
      </c>
      <c r="B21" s="171" t="s">
        <v>132</v>
      </c>
      <c r="C21" s="689">
        <v>0</v>
      </c>
      <c r="D21" s="689">
        <v>0</v>
      </c>
      <c r="E21" s="689">
        <v>0</v>
      </c>
      <c r="F21" s="689">
        <v>0</v>
      </c>
      <c r="G21" s="689">
        <v>0</v>
      </c>
      <c r="H21" s="689">
        <v>0</v>
      </c>
      <c r="I21" s="689">
        <v>0</v>
      </c>
      <c r="J21" s="689">
        <v>0</v>
      </c>
      <c r="K21" s="689">
        <v>0</v>
      </c>
      <c r="L21" s="689">
        <v>0</v>
      </c>
      <c r="M21" s="689">
        <v>0</v>
      </c>
      <c r="N21" s="689">
        <v>0</v>
      </c>
      <c r="O21" s="689">
        <v>0</v>
      </c>
      <c r="P21" s="689">
        <v>0</v>
      </c>
      <c r="Q21" s="689">
        <v>0</v>
      </c>
      <c r="R21" s="689">
        <v>0</v>
      </c>
      <c r="S21" s="689">
        <v>0</v>
      </c>
      <c r="T21" s="689">
        <v>0</v>
      </c>
      <c r="U21" s="689">
        <v>0</v>
      </c>
      <c r="V21" s="689">
        <v>0</v>
      </c>
    </row>
    <row r="24" spans="1:32" ht="14.25">
      <c r="A24" s="1151" t="s">
        <v>167</v>
      </c>
      <c r="B24" s="1151"/>
      <c r="C24" s="1151"/>
      <c r="D24" s="1151"/>
      <c r="E24" s="1151"/>
      <c r="F24" s="1151"/>
      <c r="G24" s="1151"/>
      <c r="H24" s="1151"/>
      <c r="I24" s="1151"/>
      <c r="J24" s="1151"/>
      <c r="K24" s="1151"/>
      <c r="L24" s="1151"/>
      <c r="M24" s="1151"/>
      <c r="N24" s="1151"/>
      <c r="O24" s="1151"/>
      <c r="P24" s="1151"/>
      <c r="Q24" s="1151"/>
      <c r="R24" s="1151"/>
      <c r="S24" s="1151"/>
      <c r="T24" s="1151"/>
      <c r="U24" s="1151"/>
      <c r="V24" s="1151"/>
    </row>
    <row r="25" spans="1:32" ht="14.25">
      <c r="A25" s="173"/>
      <c r="B25" s="173"/>
      <c r="C25" s="173"/>
      <c r="D25" s="173"/>
      <c r="E25" s="173"/>
      <c r="F25" s="173"/>
      <c r="G25" s="173"/>
      <c r="H25" s="173"/>
      <c r="I25" s="173"/>
      <c r="J25" s="173"/>
      <c r="K25" s="173"/>
      <c r="L25" s="173"/>
      <c r="M25" s="173"/>
      <c r="N25" s="173"/>
      <c r="O25" s="173"/>
      <c r="P25" s="173"/>
      <c r="Q25" s="173"/>
      <c r="R25" s="173"/>
      <c r="S25" s="173"/>
      <c r="T25" s="173"/>
      <c r="U25" s="173"/>
      <c r="V25" s="173"/>
    </row>
    <row r="26" spans="1:32" ht="15.75">
      <c r="A26" s="92" t="s">
        <v>12</v>
      </c>
      <c r="B26" s="92"/>
      <c r="C26" s="92"/>
      <c r="D26" s="92"/>
      <c r="E26" s="92"/>
      <c r="F26" s="92"/>
      <c r="G26" s="92"/>
      <c r="H26" s="92"/>
      <c r="I26" s="92"/>
      <c r="J26" s="92"/>
      <c r="K26" s="92"/>
      <c r="L26" s="92"/>
      <c r="M26" s="92"/>
      <c r="N26" s="1152"/>
      <c r="O26" s="1152"/>
      <c r="P26" s="1152"/>
      <c r="Q26" s="1152"/>
      <c r="R26" s="1152"/>
      <c r="S26" s="1152"/>
      <c r="T26" s="1152"/>
      <c r="U26" s="1152"/>
      <c r="V26" s="1152"/>
    </row>
    <row r="27" spans="1:32" customFormat="1" ht="13.15" customHeight="1">
      <c r="A27" s="48"/>
      <c r="B27" s="48"/>
      <c r="C27" s="48"/>
      <c r="D27" s="48"/>
      <c r="E27" s="48"/>
      <c r="F27" s="48"/>
      <c r="G27" s="48"/>
      <c r="H27" s="48"/>
      <c r="I27" s="48"/>
      <c r="J27" s="48"/>
      <c r="K27" s="48"/>
      <c r="L27" s="48"/>
      <c r="M27" s="48"/>
      <c r="N27" s="48"/>
      <c r="O27" s="48"/>
      <c r="P27" s="48"/>
      <c r="Q27" s="48"/>
      <c r="R27" s="48"/>
      <c r="S27" s="988"/>
      <c r="T27" s="988"/>
      <c r="U27" s="685"/>
      <c r="V27" s="48"/>
      <c r="W27" s="48"/>
      <c r="X27" s="48"/>
      <c r="Y27" s="48"/>
      <c r="Z27" s="48"/>
      <c r="AA27" s="48"/>
      <c r="AB27" s="48"/>
      <c r="AC27" s="48"/>
      <c r="AD27" s="48"/>
      <c r="AE27" s="991"/>
      <c r="AF27" s="991"/>
    </row>
    <row r="28" spans="1:32" customFormat="1" ht="15.6" customHeight="1">
      <c r="B28" s="989"/>
      <c r="C28" s="989"/>
      <c r="D28" s="989"/>
      <c r="E28" s="989"/>
      <c r="F28" s="989"/>
      <c r="G28" s="989"/>
      <c r="H28" s="989"/>
      <c r="I28" s="989"/>
      <c r="J28" s="989"/>
      <c r="N28" s="989"/>
      <c r="S28" s="1040" t="s">
        <v>1106</v>
      </c>
      <c r="T28" s="1040"/>
      <c r="U28" s="1040"/>
    </row>
    <row r="29" spans="1:32" customFormat="1" ht="15.6" customHeight="1">
      <c r="B29" s="989"/>
      <c r="C29" s="989"/>
      <c r="D29" s="989"/>
      <c r="E29" s="989"/>
      <c r="F29" s="989"/>
      <c r="G29" s="989"/>
      <c r="H29" s="989"/>
      <c r="I29" s="989"/>
      <c r="J29" s="989"/>
      <c r="N29" s="989"/>
      <c r="S29" s="1040" t="s">
        <v>481</v>
      </c>
      <c r="T29" s="1040"/>
      <c r="U29" s="1040"/>
    </row>
    <row r="30" spans="1:32" customFormat="1" ht="15.6" customHeight="1">
      <c r="A30" s="989" t="s">
        <v>1105</v>
      </c>
      <c r="B30" s="989"/>
      <c r="C30" s="989"/>
      <c r="D30" s="989"/>
      <c r="E30" s="989"/>
      <c r="F30" s="989"/>
      <c r="G30" s="989"/>
      <c r="H30" s="989"/>
      <c r="I30" s="989"/>
      <c r="J30" s="989"/>
      <c r="N30" s="989"/>
      <c r="S30" s="1040" t="s">
        <v>1107</v>
      </c>
      <c r="T30" s="1040"/>
      <c r="U30" s="1040"/>
    </row>
  </sheetData>
  <mergeCells count="33">
    <mergeCell ref="S30:U30"/>
    <mergeCell ref="U5:V5"/>
    <mergeCell ref="A7:B7"/>
    <mergeCell ref="O7:V7"/>
    <mergeCell ref="O8:V8"/>
    <mergeCell ref="A8:A12"/>
    <mergeCell ref="B8:B12"/>
    <mergeCell ref="C8:E8"/>
    <mergeCell ref="F8:F12"/>
    <mergeCell ref="V10:V12"/>
    <mergeCell ref="S10:U11"/>
    <mergeCell ref="K9:N9"/>
    <mergeCell ref="O9:R9"/>
    <mergeCell ref="S9:V9"/>
    <mergeCell ref="R10:R12"/>
    <mergeCell ref="O10:Q11"/>
    <mergeCell ref="C9:C12"/>
    <mergeCell ref="D9:D12"/>
    <mergeCell ref="E9:E12"/>
    <mergeCell ref="G9:J9"/>
    <mergeCell ref="C3:N3"/>
    <mergeCell ref="B5:S5"/>
    <mergeCell ref="G8:N8"/>
    <mergeCell ref="G10:I11"/>
    <mergeCell ref="J10:J12"/>
    <mergeCell ref="K10:M11"/>
    <mergeCell ref="N10:N12"/>
    <mergeCell ref="S29:U29"/>
    <mergeCell ref="A14:B14"/>
    <mergeCell ref="A19:B19"/>
    <mergeCell ref="A24:V24"/>
    <mergeCell ref="N26:V26"/>
    <mergeCell ref="S28:U28"/>
  </mergeCells>
  <printOptions horizontalCentered="1"/>
  <pageMargins left="0.70866141732283472" right="0.70866141732283472" top="0.63" bottom="0" header="0.79" footer="0.31496062992125984"/>
  <pageSetup paperSize="9" scale="52"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sheetPr>
    <pageSetUpPr fitToPage="1"/>
  </sheetPr>
  <dimension ref="A1:P35"/>
  <sheetViews>
    <sheetView view="pageBreakPreview" topLeftCell="C9" zoomScaleNormal="70" zoomScaleSheetLayoutView="100" workbookViewId="0">
      <selection activeCell="E20" sqref="E20"/>
    </sheetView>
  </sheetViews>
  <sheetFormatPr defaultColWidth="9.140625" defaultRowHeight="12.75"/>
  <cols>
    <col min="1" max="1" width="6.5703125" style="222" customWidth="1"/>
    <col min="2" max="2" width="17.140625" style="222" customWidth="1"/>
    <col min="3" max="3" width="17.85546875" style="222" customWidth="1"/>
    <col min="4" max="4" width="12" style="222" customWidth="1"/>
    <col min="5" max="5" width="7.85546875" style="222" customWidth="1"/>
    <col min="6" max="7" width="10" style="222" bestFit="1" customWidth="1"/>
    <col min="8" max="8" width="8" style="222" bestFit="1" customWidth="1"/>
    <col min="9" max="9" width="5.5703125" style="222" bestFit="1" customWidth="1"/>
    <col min="10" max="10" width="6.5703125" style="222" bestFit="1" customWidth="1"/>
    <col min="11" max="11" width="9.42578125" style="222" bestFit="1" customWidth="1"/>
    <col min="12" max="12" width="7.85546875" style="222" bestFit="1" customWidth="1"/>
    <col min="13" max="13" width="9.140625" style="222" bestFit="1" customWidth="1"/>
    <col min="14" max="14" width="7.140625" style="222" bestFit="1" customWidth="1"/>
    <col min="15" max="15" width="6.5703125" style="222" bestFit="1" customWidth="1"/>
    <col min="16" max="16" width="19.7109375" style="222" customWidth="1"/>
    <col min="17" max="16384" width="9.140625" style="222"/>
  </cols>
  <sheetData>
    <row r="1" spans="1:16" ht="15">
      <c r="A1" s="455"/>
      <c r="B1" s="455"/>
      <c r="C1" s="455"/>
      <c r="D1" s="1556"/>
      <c r="E1" s="1556"/>
      <c r="F1" s="455"/>
      <c r="G1" s="455"/>
      <c r="H1" s="455"/>
      <c r="I1" s="455"/>
      <c r="J1" s="455"/>
      <c r="K1" s="455"/>
      <c r="L1" s="455"/>
      <c r="M1" s="455"/>
      <c r="N1" s="455"/>
      <c r="O1" s="1557" t="s">
        <v>952</v>
      </c>
      <c r="P1" s="1557"/>
    </row>
    <row r="2" spans="1:16" ht="15.75">
      <c r="A2" s="1558" t="s">
        <v>0</v>
      </c>
      <c r="B2" s="1558"/>
      <c r="C2" s="1558"/>
      <c r="D2" s="1558"/>
      <c r="E2" s="1558"/>
      <c r="F2" s="1558"/>
      <c r="G2" s="1558"/>
      <c r="H2" s="1558"/>
      <c r="I2" s="1558"/>
      <c r="J2" s="1558"/>
      <c r="K2" s="1558"/>
      <c r="L2" s="1558"/>
      <c r="M2" s="1558"/>
      <c r="N2" s="1558"/>
      <c r="O2" s="1558"/>
      <c r="P2" s="1558"/>
    </row>
    <row r="3" spans="1:16" ht="20.25">
      <c r="A3" s="1559" t="s">
        <v>636</v>
      </c>
      <c r="B3" s="1559"/>
      <c r="C3" s="1559"/>
      <c r="D3" s="1559"/>
      <c r="E3" s="1559"/>
      <c r="F3" s="1559"/>
      <c r="G3" s="1559"/>
      <c r="H3" s="1559"/>
      <c r="I3" s="1559"/>
      <c r="J3" s="1559"/>
      <c r="K3" s="1559"/>
      <c r="L3" s="1559"/>
      <c r="M3" s="1559"/>
      <c r="N3" s="1559"/>
      <c r="O3" s="1559"/>
      <c r="P3" s="1559"/>
    </row>
    <row r="4" spans="1:16">
      <c r="A4" s="455"/>
      <c r="B4" s="455"/>
      <c r="C4" s="455"/>
      <c r="D4" s="455"/>
      <c r="E4" s="455"/>
      <c r="F4" s="455"/>
      <c r="G4" s="455"/>
      <c r="H4" s="455"/>
      <c r="I4" s="455"/>
      <c r="J4" s="455"/>
      <c r="K4" s="455"/>
      <c r="L4" s="455"/>
      <c r="M4" s="455"/>
      <c r="N4" s="455"/>
      <c r="O4" s="455"/>
      <c r="P4" s="455"/>
    </row>
    <row r="5" spans="1:16" s="449" customFormat="1" ht="15">
      <c r="A5" s="1560" t="s">
        <v>953</v>
      </c>
      <c r="B5" s="1560"/>
      <c r="C5" s="1560"/>
      <c r="D5" s="1560"/>
      <c r="E5" s="1560"/>
      <c r="F5" s="1560"/>
      <c r="G5" s="1560"/>
      <c r="H5" s="1560"/>
      <c r="I5" s="1560"/>
      <c r="J5" s="1560"/>
      <c r="K5" s="1560"/>
      <c r="L5" s="1560"/>
      <c r="M5" s="1560"/>
      <c r="N5" s="1560"/>
      <c r="O5" s="1560"/>
      <c r="P5" s="1560"/>
    </row>
    <row r="6" spans="1:16">
      <c r="A6" s="1561"/>
      <c r="B6" s="1561"/>
      <c r="C6" s="1561"/>
      <c r="D6" s="1561"/>
      <c r="E6" s="1561"/>
      <c r="F6" s="1561"/>
      <c r="G6" s="1561"/>
      <c r="H6" s="1561"/>
      <c r="I6" s="1561"/>
      <c r="J6" s="1561"/>
      <c r="K6" s="1561"/>
      <c r="L6" s="1561"/>
      <c r="M6" s="1561"/>
      <c r="N6" s="1561"/>
      <c r="O6" s="1561"/>
      <c r="P6" s="1561"/>
    </row>
    <row r="7" spans="1:16">
      <c r="A7" s="1555" t="s">
        <v>954</v>
      </c>
      <c r="B7" s="1555"/>
      <c r="C7" s="455"/>
      <c r="D7" s="456"/>
      <c r="E7" s="455"/>
      <c r="F7" s="455"/>
      <c r="G7" s="455"/>
      <c r="H7" s="1554"/>
      <c r="I7" s="1554"/>
      <c r="J7" s="1554"/>
      <c r="K7" s="1554"/>
      <c r="L7" s="1554"/>
      <c r="M7" s="1554"/>
      <c r="N7" s="1554"/>
      <c r="O7" s="1554"/>
      <c r="P7" s="1554"/>
    </row>
    <row r="8" spans="1:16" s="450" customFormat="1" ht="30.75" customHeight="1">
      <c r="A8" s="1546" t="s">
        <v>2</v>
      </c>
      <c r="B8" s="1546" t="s">
        <v>3</v>
      </c>
      <c r="C8" s="1544" t="s">
        <v>955</v>
      </c>
      <c r="D8" s="1547" t="s">
        <v>84</v>
      </c>
      <c r="E8" s="1549" t="s">
        <v>85</v>
      </c>
      <c r="F8" s="1550"/>
      <c r="G8" s="1550"/>
      <c r="H8" s="1551"/>
      <c r="I8" s="1549" t="s">
        <v>956</v>
      </c>
      <c r="J8" s="1550"/>
      <c r="K8" s="1550"/>
      <c r="L8" s="1551"/>
      <c r="M8" s="1547" t="s">
        <v>957</v>
      </c>
      <c r="N8" s="1552"/>
      <c r="O8" s="1553"/>
      <c r="P8" s="1546" t="s">
        <v>958</v>
      </c>
    </row>
    <row r="9" spans="1:16" s="450" customFormat="1" ht="44.45" customHeight="1">
      <c r="A9" s="1546"/>
      <c r="B9" s="1546"/>
      <c r="C9" s="1545"/>
      <c r="D9" s="1548"/>
      <c r="E9" s="457" t="s">
        <v>959</v>
      </c>
      <c r="F9" s="457" t="s">
        <v>960</v>
      </c>
      <c r="G9" s="457" t="s">
        <v>961</v>
      </c>
      <c r="H9" s="457" t="s">
        <v>962</v>
      </c>
      <c r="I9" s="457" t="s">
        <v>982</v>
      </c>
      <c r="J9" s="457" t="s">
        <v>964</v>
      </c>
      <c r="K9" s="457" t="s">
        <v>965</v>
      </c>
      <c r="L9" s="457" t="s">
        <v>802</v>
      </c>
      <c r="M9" s="457" t="s">
        <v>966</v>
      </c>
      <c r="N9" s="458" t="s">
        <v>967</v>
      </c>
      <c r="O9" s="457" t="s">
        <v>18</v>
      </c>
      <c r="P9" s="1546"/>
    </row>
    <row r="10" spans="1:16" s="453" customFormat="1">
      <c r="A10" s="457">
        <v>1</v>
      </c>
      <c r="B10" s="457">
        <v>2</v>
      </c>
      <c r="C10" s="457">
        <v>3</v>
      </c>
      <c r="D10" s="1029">
        <v>4</v>
      </c>
      <c r="E10" s="457">
        <v>5</v>
      </c>
      <c r="F10" s="457">
        <v>6</v>
      </c>
      <c r="G10" s="457">
        <v>7</v>
      </c>
      <c r="H10" s="457">
        <v>8</v>
      </c>
      <c r="I10" s="457">
        <v>9</v>
      </c>
      <c r="J10" s="457">
        <v>10</v>
      </c>
      <c r="K10" s="457">
        <v>11</v>
      </c>
      <c r="L10" s="457">
        <v>12</v>
      </c>
      <c r="M10" s="457">
        <v>13</v>
      </c>
      <c r="N10" s="457">
        <v>14</v>
      </c>
      <c r="O10" s="457">
        <v>15</v>
      </c>
      <c r="P10" s="457">
        <v>16</v>
      </c>
    </row>
    <row r="11" spans="1:16" ht="13.15" customHeight="1">
      <c r="A11" s="459">
        <v>1</v>
      </c>
      <c r="B11" s="949"/>
      <c r="C11" s="949"/>
      <c r="D11" s="949"/>
      <c r="E11" s="949"/>
      <c r="F11" s="949"/>
      <c r="G11" s="949"/>
      <c r="H11" s="949"/>
      <c r="I11" s="949"/>
      <c r="J11" s="949"/>
      <c r="K11" s="949"/>
      <c r="L11" s="949"/>
      <c r="M11" s="949"/>
      <c r="N11" s="949"/>
      <c r="O11" s="949"/>
      <c r="P11" s="949"/>
    </row>
    <row r="12" spans="1:16" ht="13.15" customHeight="1">
      <c r="A12" s="459">
        <v>2</v>
      </c>
      <c r="B12" s="949"/>
      <c r="C12" s="949"/>
      <c r="D12" s="949"/>
      <c r="E12" s="949"/>
      <c r="F12" s="949"/>
      <c r="G12" s="949"/>
      <c r="H12" s="949"/>
      <c r="I12" s="949"/>
      <c r="J12" s="949"/>
      <c r="K12" s="949"/>
      <c r="L12" s="949"/>
      <c r="M12" s="949"/>
      <c r="N12" s="949"/>
      <c r="O12" s="949"/>
      <c r="P12" s="949"/>
    </row>
    <row r="13" spans="1:16" ht="13.15" customHeight="1">
      <c r="A13" s="459">
        <v>3</v>
      </c>
      <c r="B13" s="949"/>
      <c r="C13" s="949"/>
      <c r="D13" s="949"/>
      <c r="E13" s="949"/>
      <c r="F13" s="949"/>
      <c r="G13" s="949"/>
      <c r="H13" s="949"/>
      <c r="I13" s="949"/>
      <c r="J13" s="949"/>
      <c r="K13" s="949"/>
      <c r="L13" s="949"/>
      <c r="M13" s="949"/>
      <c r="N13" s="949"/>
      <c r="O13" s="949"/>
      <c r="P13" s="949"/>
    </row>
    <row r="14" spans="1:16" ht="13.15" customHeight="1">
      <c r="A14" s="459">
        <v>4</v>
      </c>
      <c r="B14" s="949"/>
      <c r="C14" s="949"/>
      <c r="D14" s="949"/>
      <c r="E14" s="949"/>
      <c r="F14" s="949"/>
      <c r="G14" s="949"/>
      <c r="H14" s="949"/>
      <c r="I14" s="949"/>
      <c r="J14" s="949"/>
      <c r="K14" s="949"/>
      <c r="L14" s="949"/>
      <c r="M14" s="949"/>
      <c r="N14" s="949"/>
      <c r="O14" s="949"/>
      <c r="P14" s="949"/>
    </row>
    <row r="15" spans="1:16" ht="13.15" customHeight="1">
      <c r="A15" s="459">
        <v>5</v>
      </c>
      <c r="B15" s="949"/>
      <c r="C15" s="949"/>
      <c r="D15" s="949"/>
      <c r="E15" s="949"/>
      <c r="F15" s="949"/>
      <c r="G15" s="949"/>
      <c r="H15" s="949"/>
      <c r="I15" s="949"/>
      <c r="J15" s="949"/>
      <c r="K15" s="949"/>
      <c r="L15" s="949"/>
      <c r="M15" s="949"/>
      <c r="N15" s="949"/>
      <c r="O15" s="949"/>
      <c r="P15" s="949"/>
    </row>
    <row r="16" spans="1:16" ht="13.15" customHeight="1">
      <c r="A16" s="459">
        <v>6</v>
      </c>
      <c r="B16" s="949"/>
      <c r="C16" s="949"/>
      <c r="D16" s="949"/>
      <c r="E16" s="949"/>
      <c r="F16" s="949"/>
      <c r="G16" s="949"/>
      <c r="H16" s="949"/>
      <c r="I16" s="949"/>
      <c r="J16" s="949"/>
      <c r="K16" s="949"/>
      <c r="L16" s="949"/>
      <c r="M16" s="949"/>
      <c r="N16" s="949"/>
      <c r="O16" s="949"/>
      <c r="P16" s="949"/>
    </row>
    <row r="17" spans="1:16" ht="13.15" customHeight="1">
      <c r="A17" s="460" t="s">
        <v>7</v>
      </c>
      <c r="B17" s="949"/>
      <c r="C17" s="949"/>
      <c r="D17" s="949"/>
      <c r="E17" s="949"/>
      <c r="F17" s="949"/>
      <c r="G17" s="949"/>
      <c r="H17" s="949"/>
      <c r="I17" s="949"/>
      <c r="J17" s="949"/>
      <c r="K17" s="949"/>
      <c r="L17" s="949"/>
      <c r="M17" s="949"/>
      <c r="N17" s="949"/>
      <c r="O17" s="949"/>
      <c r="P17" s="949"/>
    </row>
    <row r="18" spans="1:16" ht="13.15" customHeight="1">
      <c r="A18" s="460" t="s">
        <v>7</v>
      </c>
      <c r="B18" s="949"/>
      <c r="C18" s="949"/>
      <c r="D18" s="949"/>
      <c r="E18" s="949"/>
      <c r="F18" s="949"/>
      <c r="G18" s="949"/>
      <c r="H18" s="949"/>
      <c r="I18" s="949"/>
      <c r="J18" s="949"/>
      <c r="K18" s="949"/>
      <c r="L18" s="949"/>
      <c r="M18" s="949"/>
      <c r="N18" s="949"/>
      <c r="O18" s="949"/>
      <c r="P18" s="949"/>
    </row>
    <row r="19" spans="1:16" s="229" customFormat="1" ht="13.15" customHeight="1">
      <c r="A19" s="461" t="s">
        <v>18</v>
      </c>
      <c r="B19" s="949"/>
      <c r="C19" s="949"/>
      <c r="D19" s="949"/>
      <c r="E19" s="949"/>
      <c r="F19" s="949"/>
      <c r="G19" s="949"/>
      <c r="H19" s="949"/>
      <c r="I19" s="949"/>
      <c r="J19" s="949"/>
      <c r="K19" s="949"/>
      <c r="L19" s="949"/>
      <c r="M19" s="949"/>
      <c r="N19" s="949"/>
      <c r="O19" s="949"/>
      <c r="P19" s="949"/>
    </row>
    <row r="20" spans="1:16">
      <c r="A20" s="226"/>
      <c r="B20" s="226"/>
      <c r="C20" s="226"/>
      <c r="D20" s="226"/>
    </row>
    <row r="21" spans="1:16">
      <c r="A21" s="1520" t="s">
        <v>968</v>
      </c>
      <c r="B21" s="1520"/>
      <c r="C21" s="1520"/>
      <c r="D21" s="1520"/>
    </row>
    <row r="22" spans="1:16">
      <c r="A22" s="227" t="s">
        <v>969</v>
      </c>
      <c r="B22" s="229" t="s">
        <v>970</v>
      </c>
      <c r="C22" s="229"/>
    </row>
    <row r="23" spans="1:16">
      <c r="A23" s="227" t="s">
        <v>971</v>
      </c>
      <c r="B23" s="1520" t="s">
        <v>972</v>
      </c>
      <c r="C23" s="1520"/>
      <c r="D23" s="1520"/>
    </row>
    <row r="24" spans="1:16">
      <c r="A24" s="229" t="s">
        <v>973</v>
      </c>
      <c r="B24" s="1520" t="s">
        <v>974</v>
      </c>
      <c r="C24" s="1520"/>
      <c r="D24" s="1520"/>
    </row>
    <row r="25" spans="1:16">
      <c r="A25" s="229" t="s">
        <v>975</v>
      </c>
      <c r="B25" s="1520" t="s">
        <v>976</v>
      </c>
      <c r="C25" s="1520"/>
      <c r="D25" s="1520"/>
      <c r="E25" s="1520"/>
      <c r="F25" s="1520"/>
      <c r="G25" s="1520"/>
      <c r="H25" s="1520"/>
      <c r="I25" s="1520"/>
      <c r="J25" s="1520"/>
      <c r="K25" s="1520"/>
      <c r="L25" s="1520"/>
      <c r="M25" s="1520"/>
      <c r="N25" s="1520"/>
      <c r="O25" s="1520"/>
      <c r="P25" s="1520"/>
    </row>
    <row r="26" spans="1:16">
      <c r="A26" s="229" t="s">
        <v>977</v>
      </c>
      <c r="B26" s="229" t="s">
        <v>978</v>
      </c>
      <c r="C26" s="229"/>
    </row>
    <row r="27" spans="1:16">
      <c r="A27" s="229" t="s">
        <v>979</v>
      </c>
      <c r="B27" s="229" t="s">
        <v>980</v>
      </c>
      <c r="C27" s="229"/>
    </row>
    <row r="28" spans="1:16">
      <c r="A28" s="229"/>
      <c r="B28" s="229" t="s">
        <v>981</v>
      </c>
      <c r="C28" s="229"/>
    </row>
    <row r="29" spans="1:16">
      <c r="A29" s="229"/>
      <c r="B29" s="229"/>
      <c r="C29" s="229"/>
    </row>
    <row r="30" spans="1:16" s="994" customFormat="1" ht="15.6" customHeight="1">
      <c r="A30" s="15" t="s">
        <v>12</v>
      </c>
      <c r="B30" s="15"/>
      <c r="C30" s="15"/>
      <c r="L30" s="1040" t="s">
        <v>1106</v>
      </c>
      <c r="M30" s="1040"/>
      <c r="N30" s="1040"/>
      <c r="O30" s="1040"/>
    </row>
    <row r="31" spans="1:16" s="994" customFormat="1" ht="15.6" customHeight="1">
      <c r="L31" s="1040" t="s">
        <v>481</v>
      </c>
      <c r="M31" s="1040"/>
      <c r="N31" s="1040"/>
      <c r="O31" s="1040"/>
    </row>
    <row r="32" spans="1:16" s="994" customFormat="1" ht="15.6" customHeight="1">
      <c r="L32" s="1040" t="s">
        <v>1107</v>
      </c>
      <c r="M32" s="1040"/>
      <c r="N32" s="1040"/>
      <c r="O32" s="1040"/>
    </row>
    <row r="33" spans="1:16">
      <c r="A33" s="229"/>
      <c r="B33" s="229"/>
      <c r="F33" s="229"/>
      <c r="G33" s="229"/>
      <c r="H33" s="229"/>
      <c r="I33" s="229"/>
      <c r="J33" s="229"/>
      <c r="K33" s="229"/>
      <c r="L33" s="229"/>
      <c r="M33" s="229"/>
      <c r="N33" s="229"/>
      <c r="O33" s="229"/>
      <c r="P33" s="229"/>
    </row>
    <row r="35" spans="1:16">
      <c r="A35" s="1513"/>
      <c r="B35" s="1513"/>
      <c r="C35" s="1513"/>
      <c r="D35" s="1513"/>
      <c r="E35" s="1513"/>
      <c r="F35" s="1513"/>
      <c r="G35" s="1513"/>
      <c r="H35" s="1513"/>
      <c r="I35" s="1513"/>
      <c r="J35" s="1513"/>
      <c r="K35" s="1513"/>
      <c r="L35" s="1513"/>
      <c r="M35" s="1513"/>
      <c r="N35" s="1513"/>
      <c r="O35" s="1513"/>
      <c r="P35" s="1513"/>
    </row>
  </sheetData>
  <mergeCells count="24">
    <mergeCell ref="A7:B7"/>
    <mergeCell ref="D1:E1"/>
    <mergeCell ref="O1:P1"/>
    <mergeCell ref="A2:P2"/>
    <mergeCell ref="A3:P3"/>
    <mergeCell ref="A5:P5"/>
    <mergeCell ref="A6:P6"/>
    <mergeCell ref="E8:H8"/>
    <mergeCell ref="I8:L8"/>
    <mergeCell ref="M8:O8"/>
    <mergeCell ref="P8:P9"/>
    <mergeCell ref="H7:P7"/>
    <mergeCell ref="A21:D21"/>
    <mergeCell ref="C8:C9"/>
    <mergeCell ref="A8:A9"/>
    <mergeCell ref="B8:B9"/>
    <mergeCell ref="D8:D9"/>
    <mergeCell ref="A35:P35"/>
    <mergeCell ref="B23:D23"/>
    <mergeCell ref="B24:D24"/>
    <mergeCell ref="B25:P25"/>
    <mergeCell ref="L31:O31"/>
    <mergeCell ref="L32:O32"/>
    <mergeCell ref="L30:O30"/>
  </mergeCells>
  <printOptions horizontalCentered="1"/>
  <pageMargins left="0.70866141732283472" right="0.70866141732283472" top="0.63" bottom="0" header="0.79" footer="0.31496062992125984"/>
  <pageSetup paperSize="9" scale="82" orientation="landscape" r:id="rId1"/>
</worksheet>
</file>

<file path=xl/worksheets/sheet61.xml><?xml version="1.0" encoding="utf-8"?>
<worksheet xmlns="http://schemas.openxmlformats.org/spreadsheetml/2006/main" xmlns:r="http://schemas.openxmlformats.org/officeDocument/2006/relationships">
  <sheetPr>
    <pageSetUpPr fitToPage="1"/>
  </sheetPr>
  <dimension ref="A1:R36"/>
  <sheetViews>
    <sheetView view="pageBreakPreview" zoomScaleNormal="70" zoomScaleSheetLayoutView="100" workbookViewId="0">
      <selection activeCell="A5" sqref="A5:Q5"/>
    </sheetView>
  </sheetViews>
  <sheetFormatPr defaultColWidth="9.140625" defaultRowHeight="12.75"/>
  <cols>
    <col min="1" max="1" width="6.5703125" style="222" customWidth="1"/>
    <col min="2" max="2" width="15.85546875" style="222" customWidth="1"/>
    <col min="3" max="3" width="17.85546875" style="222" customWidth="1"/>
    <col min="4" max="4" width="10.85546875" style="450" customWidth="1"/>
    <col min="5" max="5" width="0.28515625" style="222" hidden="1" customWidth="1"/>
    <col min="6" max="6" width="8.7109375" style="222" customWidth="1"/>
    <col min="7" max="8" width="8" style="222" customWidth="1"/>
    <col min="9" max="13" width="8.140625" style="222" customWidth="1"/>
    <col min="14" max="14" width="10.140625" style="222" customWidth="1"/>
    <col min="15" max="15" width="11.42578125" style="222" customWidth="1"/>
    <col min="16" max="16" width="10.85546875" style="222" customWidth="1"/>
    <col min="17" max="17" width="20.28515625" style="222" customWidth="1"/>
    <col min="18" max="16384" width="9.140625" style="222"/>
  </cols>
  <sheetData>
    <row r="1" spans="1:17" ht="15">
      <c r="D1" s="1512"/>
      <c r="E1" s="1512"/>
      <c r="F1" s="1512"/>
      <c r="P1" s="1514" t="s">
        <v>735</v>
      </c>
      <c r="Q1" s="1514"/>
    </row>
    <row r="2" spans="1:17" ht="15.75">
      <c r="A2" s="1523" t="s">
        <v>0</v>
      </c>
      <c r="B2" s="1523"/>
      <c r="C2" s="1523"/>
      <c r="D2" s="1523"/>
      <c r="E2" s="1523"/>
      <c r="F2" s="1523"/>
      <c r="G2" s="1523"/>
      <c r="H2" s="1523"/>
      <c r="I2" s="1523"/>
      <c r="J2" s="1523"/>
      <c r="K2" s="1523"/>
      <c r="L2" s="1523"/>
      <c r="M2" s="1523"/>
      <c r="N2" s="1523"/>
      <c r="O2" s="1523"/>
      <c r="P2" s="1523"/>
      <c r="Q2" s="1523"/>
    </row>
    <row r="3" spans="1:17" ht="20.25">
      <c r="A3" s="1571" t="s">
        <v>636</v>
      </c>
      <c r="B3" s="1571"/>
      <c r="C3" s="1571"/>
      <c r="D3" s="1571"/>
      <c r="E3" s="1571"/>
      <c r="F3" s="1571"/>
      <c r="G3" s="1571"/>
      <c r="H3" s="1571"/>
      <c r="I3" s="1571"/>
      <c r="J3" s="1571"/>
      <c r="K3" s="1571"/>
      <c r="L3" s="1571"/>
      <c r="M3" s="1571"/>
      <c r="N3" s="1571"/>
      <c r="O3" s="1571"/>
      <c r="P3" s="1571"/>
      <c r="Q3" s="1571"/>
    </row>
    <row r="5" spans="1:17" s="449" customFormat="1" ht="15">
      <c r="A5" s="1572" t="s">
        <v>983</v>
      </c>
      <c r="B5" s="1572"/>
      <c r="C5" s="1572"/>
      <c r="D5" s="1572"/>
      <c r="E5" s="1572"/>
      <c r="F5" s="1572"/>
      <c r="G5" s="1572"/>
      <c r="H5" s="1572"/>
      <c r="I5" s="1572"/>
      <c r="J5" s="1572"/>
      <c r="K5" s="1572"/>
      <c r="L5" s="1572"/>
      <c r="M5" s="1572"/>
      <c r="N5" s="1572"/>
      <c r="O5" s="1572"/>
      <c r="P5" s="1572"/>
      <c r="Q5" s="1572"/>
    </row>
    <row r="6" spans="1:17">
      <c r="A6" s="1513"/>
      <c r="B6" s="1513"/>
      <c r="C6" s="1513"/>
      <c r="D6" s="1513"/>
      <c r="E6" s="1513"/>
      <c r="F6" s="1513"/>
      <c r="G6" s="1513"/>
      <c r="H6" s="1513"/>
      <c r="I6" s="1513"/>
      <c r="J6" s="1513"/>
      <c r="K6" s="1513"/>
      <c r="L6" s="1513"/>
      <c r="M6" s="1513"/>
      <c r="N6" s="1513"/>
      <c r="O6" s="1513"/>
      <c r="P6" s="1513"/>
      <c r="Q6" s="1513"/>
    </row>
    <row r="7" spans="1:17">
      <c r="A7" s="1520" t="s">
        <v>954</v>
      </c>
      <c r="B7" s="1520"/>
      <c r="D7" s="462"/>
      <c r="I7" s="1515"/>
      <c r="J7" s="1515"/>
      <c r="K7" s="1515"/>
      <c r="L7" s="1515"/>
      <c r="M7" s="1515"/>
      <c r="N7" s="1515"/>
      <c r="O7" s="1515"/>
      <c r="P7" s="1515"/>
      <c r="Q7" s="1515"/>
    </row>
    <row r="8" spans="1:17" s="450" customFormat="1" ht="40.15" customHeight="1">
      <c r="A8" s="1565" t="s">
        <v>2</v>
      </c>
      <c r="B8" s="1565" t="s">
        <v>3</v>
      </c>
      <c r="C8" s="1566" t="s">
        <v>955</v>
      </c>
      <c r="D8" s="463" t="s">
        <v>84</v>
      </c>
      <c r="E8" s="464"/>
      <c r="F8" s="1568" t="s">
        <v>85</v>
      </c>
      <c r="G8" s="1569"/>
      <c r="H8" s="1569"/>
      <c r="I8" s="1570"/>
      <c r="J8" s="1568" t="s">
        <v>956</v>
      </c>
      <c r="K8" s="1569"/>
      <c r="L8" s="1569"/>
      <c r="M8" s="1570"/>
      <c r="N8" s="1562" t="s">
        <v>957</v>
      </c>
      <c r="O8" s="1563"/>
      <c r="P8" s="1564"/>
      <c r="Q8" s="1565" t="s">
        <v>984</v>
      </c>
    </row>
    <row r="9" spans="1:17" s="450" customFormat="1" ht="30" customHeight="1">
      <c r="A9" s="1565"/>
      <c r="B9" s="1565"/>
      <c r="C9" s="1567"/>
      <c r="D9" s="465"/>
      <c r="E9" s="466"/>
      <c r="F9" s="451" t="s">
        <v>959</v>
      </c>
      <c r="G9" s="451" t="s">
        <v>960</v>
      </c>
      <c r="H9" s="451" t="s">
        <v>961</v>
      </c>
      <c r="I9" s="451" t="s">
        <v>962</v>
      </c>
      <c r="J9" s="451" t="s">
        <v>963</v>
      </c>
      <c r="K9" s="451" t="s">
        <v>964</v>
      </c>
      <c r="L9" s="451" t="s">
        <v>965</v>
      </c>
      <c r="M9" s="451" t="s">
        <v>802</v>
      </c>
      <c r="N9" s="451" t="s">
        <v>966</v>
      </c>
      <c r="O9" s="452" t="s">
        <v>967</v>
      </c>
      <c r="P9" s="451" t="s">
        <v>18</v>
      </c>
      <c r="Q9" s="1565"/>
    </row>
    <row r="10" spans="1:17" s="453" customFormat="1">
      <c r="A10" s="451">
        <v>1</v>
      </c>
      <c r="B10" s="451">
        <v>2</v>
      </c>
      <c r="C10" s="451">
        <v>3</v>
      </c>
      <c r="D10" s="452">
        <v>4</v>
      </c>
      <c r="E10" s="467"/>
      <c r="F10" s="451">
        <v>5</v>
      </c>
      <c r="G10" s="451">
        <v>6</v>
      </c>
      <c r="H10" s="451">
        <v>7</v>
      </c>
      <c r="I10" s="451">
        <v>8</v>
      </c>
      <c r="J10" s="451">
        <v>9</v>
      </c>
      <c r="K10" s="451">
        <v>10</v>
      </c>
      <c r="L10" s="451">
        <v>11</v>
      </c>
      <c r="M10" s="451">
        <v>12</v>
      </c>
      <c r="N10" s="451">
        <v>13</v>
      </c>
      <c r="O10" s="451">
        <v>14</v>
      </c>
      <c r="P10" s="451">
        <v>15</v>
      </c>
      <c r="Q10" s="451">
        <v>16</v>
      </c>
    </row>
    <row r="11" spans="1:17" ht="13.15" customHeight="1">
      <c r="A11" s="223">
        <v>1</v>
      </c>
      <c r="B11" s="950"/>
      <c r="C11" s="951"/>
      <c r="D11" s="951"/>
      <c r="E11" s="951"/>
      <c r="F11" s="951"/>
      <c r="G11" s="951"/>
      <c r="H11" s="951"/>
      <c r="I11" s="951"/>
      <c r="J11" s="951"/>
      <c r="K11" s="951"/>
      <c r="L11" s="951"/>
      <c r="M11" s="951"/>
      <c r="N11" s="951"/>
      <c r="O11" s="951"/>
      <c r="P11" s="951"/>
      <c r="Q11" s="951"/>
    </row>
    <row r="12" spans="1:17" ht="13.15" customHeight="1">
      <c r="A12" s="223">
        <v>2</v>
      </c>
      <c r="B12" s="951"/>
      <c r="C12" s="951"/>
      <c r="D12" s="951"/>
      <c r="E12" s="951"/>
      <c r="F12" s="951"/>
      <c r="G12" s="951"/>
      <c r="H12" s="951"/>
      <c r="I12" s="951"/>
      <c r="J12" s="951"/>
      <c r="K12" s="951"/>
      <c r="L12" s="951"/>
      <c r="M12" s="951"/>
      <c r="N12" s="951"/>
      <c r="O12" s="951"/>
      <c r="P12" s="951"/>
      <c r="Q12" s="951"/>
    </row>
    <row r="13" spans="1:17" ht="13.15" customHeight="1">
      <c r="A13" s="223">
        <v>3</v>
      </c>
      <c r="B13" s="951"/>
      <c r="C13" s="951"/>
      <c r="D13" s="951"/>
      <c r="E13" s="951"/>
      <c r="F13" s="951"/>
      <c r="G13" s="951"/>
      <c r="H13" s="951"/>
      <c r="I13" s="951"/>
      <c r="J13" s="951"/>
      <c r="K13" s="951"/>
      <c r="L13" s="951"/>
      <c r="M13" s="951"/>
      <c r="N13" s="951"/>
      <c r="O13" s="951"/>
      <c r="P13" s="951"/>
      <c r="Q13" s="951"/>
    </row>
    <row r="14" spans="1:17" ht="13.15" customHeight="1">
      <c r="A14" s="223">
        <v>4</v>
      </c>
      <c r="B14" s="951"/>
      <c r="C14" s="951"/>
      <c r="D14" s="951"/>
      <c r="E14" s="951"/>
      <c r="F14" s="951"/>
      <c r="G14" s="951"/>
      <c r="H14" s="951"/>
      <c r="I14" s="951"/>
      <c r="J14" s="951"/>
      <c r="K14" s="951"/>
      <c r="L14" s="951"/>
      <c r="M14" s="951"/>
      <c r="N14" s="951"/>
      <c r="O14" s="951"/>
      <c r="P14" s="951"/>
      <c r="Q14" s="951"/>
    </row>
    <row r="15" spans="1:17" ht="13.15" customHeight="1">
      <c r="A15" s="223">
        <v>5</v>
      </c>
      <c r="B15" s="951"/>
      <c r="C15" s="951"/>
      <c r="D15" s="951"/>
      <c r="E15" s="951"/>
      <c r="F15" s="951"/>
      <c r="G15" s="951"/>
      <c r="H15" s="951"/>
      <c r="I15" s="951"/>
      <c r="J15" s="951"/>
      <c r="K15" s="951"/>
      <c r="L15" s="951"/>
      <c r="M15" s="951"/>
      <c r="N15" s="951"/>
      <c r="O15" s="951"/>
      <c r="P15" s="951"/>
      <c r="Q15" s="951"/>
    </row>
    <row r="16" spans="1:17" ht="13.15" customHeight="1">
      <c r="A16" s="223">
        <v>6</v>
      </c>
      <c r="B16" s="951"/>
      <c r="C16" s="951"/>
      <c r="D16" s="951"/>
      <c r="E16" s="951"/>
      <c r="F16" s="951"/>
      <c r="G16" s="951"/>
      <c r="H16" s="951"/>
      <c r="I16" s="951"/>
      <c r="J16" s="951"/>
      <c r="K16" s="951"/>
      <c r="L16" s="951"/>
      <c r="M16" s="951"/>
      <c r="N16" s="951"/>
      <c r="O16" s="951"/>
      <c r="P16" s="951"/>
      <c r="Q16" s="951"/>
    </row>
    <row r="17" spans="1:17" ht="13.15" customHeight="1">
      <c r="A17" s="225" t="s">
        <v>7</v>
      </c>
      <c r="B17" s="951"/>
      <c r="C17" s="951"/>
      <c r="D17" s="951"/>
      <c r="E17" s="951"/>
      <c r="F17" s="951"/>
      <c r="G17" s="951"/>
      <c r="H17" s="951"/>
      <c r="I17" s="951"/>
      <c r="J17" s="951"/>
      <c r="K17" s="951"/>
      <c r="L17" s="951"/>
      <c r="M17" s="951"/>
      <c r="N17" s="951"/>
      <c r="O17" s="951"/>
      <c r="P17" s="951"/>
      <c r="Q17" s="951"/>
    </row>
    <row r="18" spans="1:17" ht="13.15" customHeight="1">
      <c r="A18" s="225" t="s">
        <v>7</v>
      </c>
      <c r="B18" s="951"/>
      <c r="C18" s="951"/>
      <c r="D18" s="951"/>
      <c r="E18" s="951"/>
      <c r="F18" s="951"/>
      <c r="G18" s="951"/>
      <c r="H18" s="951"/>
      <c r="I18" s="951"/>
      <c r="J18" s="951"/>
      <c r="K18" s="951"/>
      <c r="L18" s="951"/>
      <c r="M18" s="951"/>
      <c r="N18" s="951"/>
      <c r="O18" s="951"/>
      <c r="P18" s="951"/>
      <c r="Q18" s="951"/>
    </row>
    <row r="19" spans="1:17" s="229" customFormat="1" ht="13.15" customHeight="1">
      <c r="A19" s="454" t="s">
        <v>18</v>
      </c>
      <c r="B19" s="951"/>
      <c r="C19" s="951"/>
      <c r="D19" s="951"/>
      <c r="E19" s="951"/>
      <c r="F19" s="951"/>
      <c r="G19" s="951"/>
      <c r="H19" s="951"/>
      <c r="I19" s="951"/>
      <c r="J19" s="951"/>
      <c r="K19" s="951"/>
      <c r="L19" s="951"/>
      <c r="M19" s="951"/>
      <c r="N19" s="951"/>
      <c r="O19" s="951"/>
      <c r="P19" s="951"/>
      <c r="Q19" s="951"/>
    </row>
    <row r="20" spans="1:17">
      <c r="A20" s="226"/>
      <c r="B20" s="226"/>
      <c r="C20" s="226"/>
      <c r="D20" s="468"/>
    </row>
    <row r="21" spans="1:17">
      <c r="A21" s="1520" t="s">
        <v>968</v>
      </c>
      <c r="B21" s="1520"/>
      <c r="C21" s="1520"/>
      <c r="D21" s="1520"/>
    </row>
    <row r="22" spans="1:17">
      <c r="A22" s="227" t="s">
        <v>969</v>
      </c>
      <c r="B22" s="229" t="s">
        <v>970</v>
      </c>
      <c r="C22" s="229"/>
    </row>
    <row r="23" spans="1:17">
      <c r="A23" s="227" t="s">
        <v>971</v>
      </c>
      <c r="B23" s="1520" t="s">
        <v>972</v>
      </c>
      <c r="C23" s="1520"/>
      <c r="D23" s="1520"/>
    </row>
    <row r="24" spans="1:17">
      <c r="A24" s="229" t="s">
        <v>973</v>
      </c>
      <c r="B24" s="1520" t="s">
        <v>974</v>
      </c>
      <c r="C24" s="1520"/>
      <c r="D24" s="1520"/>
    </row>
    <row r="25" spans="1:17">
      <c r="A25" s="229" t="s">
        <v>975</v>
      </c>
      <c r="B25" s="1520" t="s">
        <v>985</v>
      </c>
      <c r="C25" s="1520"/>
      <c r="D25" s="1520"/>
      <c r="E25" s="1520"/>
      <c r="F25" s="1520"/>
      <c r="G25" s="1520"/>
      <c r="H25" s="1520"/>
      <c r="I25" s="1520"/>
      <c r="J25" s="1520"/>
      <c r="K25" s="1520"/>
      <c r="L25" s="1520"/>
      <c r="M25" s="1520"/>
      <c r="N25" s="1520"/>
      <c r="O25" s="1520"/>
      <c r="P25" s="1520"/>
      <c r="Q25" s="1520"/>
    </row>
    <row r="26" spans="1:17">
      <c r="A26" s="229" t="s">
        <v>977</v>
      </c>
      <c r="B26" s="229" t="s">
        <v>978</v>
      </c>
      <c r="C26" s="229"/>
    </row>
    <row r="27" spans="1:17">
      <c r="A27" s="229" t="s">
        <v>979</v>
      </c>
      <c r="B27" s="229" t="s">
        <v>980</v>
      </c>
      <c r="C27" s="229"/>
    </row>
    <row r="28" spans="1:17">
      <c r="A28" s="229"/>
      <c r="B28" s="229" t="s">
        <v>981</v>
      </c>
      <c r="C28" s="229"/>
    </row>
    <row r="29" spans="1:17">
      <c r="A29" s="229"/>
      <c r="B29" s="229"/>
      <c r="C29" s="229"/>
    </row>
    <row r="30" spans="1:17">
      <c r="A30" s="229"/>
      <c r="B30" s="229"/>
      <c r="C30" s="229"/>
    </row>
    <row r="31" spans="1:17" s="994" customFormat="1" ht="15.6" customHeight="1">
      <c r="A31" s="15" t="s">
        <v>12</v>
      </c>
      <c r="B31" s="15"/>
      <c r="C31" s="15"/>
      <c r="N31" s="1040" t="s">
        <v>1106</v>
      </c>
      <c r="O31" s="1040"/>
      <c r="P31" s="1040"/>
      <c r="Q31" s="1040"/>
    </row>
    <row r="32" spans="1:17" s="994" customFormat="1" ht="15.6" customHeight="1">
      <c r="N32" s="1040" t="s">
        <v>481</v>
      </c>
      <c r="O32" s="1040"/>
      <c r="P32" s="1040"/>
      <c r="Q32" s="1040"/>
    </row>
    <row r="33" spans="1:18" s="994" customFormat="1" ht="15.6" customHeight="1">
      <c r="N33" s="1040" t="s">
        <v>1107</v>
      </c>
      <c r="O33" s="1040"/>
      <c r="P33" s="1040"/>
      <c r="Q33" s="1040"/>
    </row>
    <row r="34" spans="1:18">
      <c r="A34" s="229"/>
      <c r="B34" s="229"/>
      <c r="D34" s="222"/>
      <c r="H34" s="229"/>
      <c r="I34" s="229"/>
      <c r="J34" s="229"/>
      <c r="K34" s="229"/>
      <c r="L34" s="229"/>
      <c r="M34" s="229"/>
      <c r="N34" s="229"/>
      <c r="O34" s="229"/>
      <c r="P34" s="229"/>
      <c r="Q34" s="229"/>
      <c r="R34" s="229"/>
    </row>
    <row r="36" spans="1:18">
      <c r="A36" s="1513"/>
      <c r="B36" s="1513"/>
      <c r="C36" s="1513"/>
      <c r="D36" s="1513"/>
      <c r="E36" s="1513"/>
      <c r="F36" s="1513"/>
      <c r="G36" s="1513"/>
      <c r="H36" s="1513"/>
      <c r="I36" s="1513"/>
      <c r="J36" s="1513"/>
      <c r="K36" s="1513"/>
      <c r="L36" s="1513"/>
      <c r="M36" s="1513"/>
      <c r="N36" s="1513"/>
      <c r="O36" s="1513"/>
      <c r="P36" s="1513"/>
      <c r="Q36" s="1513"/>
    </row>
  </sheetData>
  <mergeCells count="23">
    <mergeCell ref="D1:F1"/>
    <mergeCell ref="F8:I8"/>
    <mergeCell ref="J8:M8"/>
    <mergeCell ref="B24:D24"/>
    <mergeCell ref="P1:Q1"/>
    <mergeCell ref="A2:Q2"/>
    <mergeCell ref="A3:Q3"/>
    <mergeCell ref="A5:Q5"/>
    <mergeCell ref="A6:Q6"/>
    <mergeCell ref="I7:Q7"/>
    <mergeCell ref="A7:B7"/>
    <mergeCell ref="A8:A9"/>
    <mergeCell ref="B8:B9"/>
    <mergeCell ref="A36:Q36"/>
    <mergeCell ref="N8:P8"/>
    <mergeCell ref="Q8:Q9"/>
    <mergeCell ref="A21:D21"/>
    <mergeCell ref="B23:D23"/>
    <mergeCell ref="B25:Q25"/>
    <mergeCell ref="C8:C9"/>
    <mergeCell ref="N31:Q31"/>
    <mergeCell ref="N32:Q32"/>
    <mergeCell ref="N33:Q33"/>
  </mergeCells>
  <printOptions horizontalCentered="1"/>
  <pageMargins left="0.70866141732283472" right="0.70866141732283472" top="0.63" bottom="0" header="0.79" footer="0.31496062992125984"/>
  <pageSetup paperSize="9" scale="79" orientation="landscape" r:id="rId1"/>
</worksheet>
</file>

<file path=xl/worksheets/sheet62.xml><?xml version="1.0" encoding="utf-8"?>
<worksheet xmlns="http://schemas.openxmlformats.org/spreadsheetml/2006/main" xmlns:r="http://schemas.openxmlformats.org/officeDocument/2006/relationships">
  <sheetPr>
    <pageSetUpPr fitToPage="1"/>
  </sheetPr>
  <dimension ref="A1:AS51"/>
  <sheetViews>
    <sheetView topLeftCell="A28" zoomScale="60" zoomScaleNormal="60" zoomScaleSheetLayoutView="115" workbookViewId="0">
      <selection activeCell="V53" sqref="V53"/>
    </sheetView>
  </sheetViews>
  <sheetFormatPr defaultColWidth="9.28515625" defaultRowHeight="15"/>
  <cols>
    <col min="1" max="1" width="9.28515625" style="478"/>
    <col min="2" max="2" width="16.5703125" style="478" customWidth="1"/>
    <col min="3" max="3" width="12.5703125" style="478" customWidth="1"/>
    <col min="4" max="4" width="8.42578125" style="478" customWidth="1"/>
    <col min="5" max="5" width="8.7109375" style="478" customWidth="1"/>
    <col min="6" max="6" width="11.85546875" style="478" customWidth="1"/>
    <col min="7" max="7" width="9.7109375" style="478" customWidth="1"/>
    <col min="8" max="8" width="10.28515625" style="478" customWidth="1"/>
    <col min="9" max="9" width="9.7109375" style="478" customWidth="1"/>
    <col min="10" max="10" width="14.28515625" style="478" customWidth="1"/>
    <col min="11" max="11" width="8.28515625" style="478" bestFit="1" customWidth="1"/>
    <col min="12" max="12" width="7.28515625" style="478" customWidth="1"/>
    <col min="13" max="13" width="7.42578125" style="478" customWidth="1"/>
    <col min="14" max="14" width="8.28515625" style="478" bestFit="1" customWidth="1"/>
    <col min="15" max="15" width="14.28515625" style="478" customWidth="1"/>
    <col min="16" max="16" width="12.28515625" style="478" customWidth="1"/>
    <col min="17" max="17" width="11.42578125" style="478" customWidth="1"/>
    <col min="18" max="18" width="19.28515625" style="478" customWidth="1"/>
    <col min="19" max="19" width="9" style="478" customWidth="1"/>
    <col min="20" max="20" width="9.28515625" style="478" hidden="1" customWidth="1"/>
    <col min="21" max="21" width="9.85546875" style="478" bestFit="1" customWidth="1"/>
    <col min="22" max="16384" width="9.28515625" style="478"/>
  </cols>
  <sheetData>
    <row r="1" spans="1:20" s="16" customFormat="1" ht="15.75">
      <c r="G1" s="1111" t="s">
        <v>0</v>
      </c>
      <c r="H1" s="1111"/>
      <c r="I1" s="1111"/>
      <c r="J1" s="1111"/>
      <c r="K1" s="1111"/>
      <c r="L1" s="1111"/>
      <c r="M1" s="1111"/>
      <c r="N1" s="37"/>
      <c r="O1" s="37"/>
      <c r="R1" s="1272" t="s">
        <v>537</v>
      </c>
      <c r="S1" s="1272"/>
    </row>
    <row r="2" spans="1:20" s="16" customFormat="1" ht="20.25">
      <c r="B2" s="115"/>
      <c r="E2" s="1112" t="s">
        <v>636</v>
      </c>
      <c r="F2" s="1112"/>
      <c r="G2" s="1112"/>
      <c r="H2" s="1112"/>
      <c r="I2" s="1112"/>
      <c r="J2" s="1112"/>
      <c r="K2" s="1112"/>
      <c r="L2" s="1112"/>
      <c r="M2" s="1112"/>
      <c r="N2" s="1112"/>
      <c r="O2" s="1112"/>
    </row>
    <row r="3" spans="1:20" s="16" customFormat="1" ht="20.25">
      <c r="B3" s="113"/>
      <c r="C3" s="113"/>
      <c r="D3" s="113"/>
      <c r="E3" s="113"/>
      <c r="F3" s="113"/>
      <c r="G3" s="113"/>
      <c r="H3" s="113"/>
      <c r="I3" s="113"/>
      <c r="J3" s="113"/>
    </row>
    <row r="4" spans="1:20" ht="18">
      <c r="B4" s="1574" t="s">
        <v>716</v>
      </c>
      <c r="C4" s="1574"/>
      <c r="D4" s="1574"/>
      <c r="E4" s="1574"/>
      <c r="F4" s="1574"/>
      <c r="G4" s="1574"/>
      <c r="H4" s="1574"/>
      <c r="I4" s="1574"/>
      <c r="J4" s="1574"/>
      <c r="K4" s="1574"/>
      <c r="L4" s="1574"/>
      <c r="M4" s="1574"/>
      <c r="N4" s="1574"/>
      <c r="O4" s="1574"/>
      <c r="P4" s="1574"/>
      <c r="Q4" s="1574"/>
      <c r="R4" s="1574"/>
      <c r="S4" s="1574"/>
      <c r="T4" s="1574"/>
    </row>
    <row r="5" spans="1:20">
      <c r="C5" s="479"/>
      <c r="D5" s="479"/>
      <c r="E5" s="479"/>
      <c r="F5" s="479"/>
      <c r="G5" s="479"/>
      <c r="H5" s="479"/>
      <c r="M5" s="479"/>
      <c r="N5" s="479"/>
      <c r="O5" s="479"/>
      <c r="P5" s="479"/>
      <c r="Q5" s="479"/>
      <c r="R5" s="479"/>
      <c r="S5" s="479"/>
      <c r="T5" s="479"/>
    </row>
    <row r="6" spans="1:20">
      <c r="A6" s="1092" t="s">
        <v>824</v>
      </c>
      <c r="B6" s="1092"/>
    </row>
    <row r="7" spans="1:20">
      <c r="B7" s="480"/>
    </row>
    <row r="8" spans="1:20" s="483" customFormat="1" ht="57.75" customHeight="1">
      <c r="A8" s="1508" t="s">
        <v>2</v>
      </c>
      <c r="B8" s="1575" t="s">
        <v>3</v>
      </c>
      <c r="C8" s="1580" t="s">
        <v>247</v>
      </c>
      <c r="D8" s="1580"/>
      <c r="E8" s="1580"/>
      <c r="F8" s="1580"/>
      <c r="G8" s="1577" t="s">
        <v>736</v>
      </c>
      <c r="H8" s="1578"/>
      <c r="I8" s="1578"/>
      <c r="J8" s="1581"/>
      <c r="K8" s="1577" t="s">
        <v>212</v>
      </c>
      <c r="L8" s="1578"/>
      <c r="M8" s="1578"/>
      <c r="N8" s="1581"/>
      <c r="O8" s="1577" t="s">
        <v>106</v>
      </c>
      <c r="P8" s="1578"/>
      <c r="Q8" s="1578"/>
      <c r="R8" s="1579"/>
    </row>
    <row r="9" spans="1:20" s="485" customFormat="1" ht="62.25" customHeight="1">
      <c r="A9" s="1508"/>
      <c r="B9" s="1576"/>
      <c r="C9" s="481" t="s">
        <v>92</v>
      </c>
      <c r="D9" s="481" t="s">
        <v>96</v>
      </c>
      <c r="E9" s="481" t="s">
        <v>97</v>
      </c>
      <c r="F9" s="481" t="s">
        <v>18</v>
      </c>
      <c r="G9" s="481" t="s">
        <v>92</v>
      </c>
      <c r="H9" s="481" t="s">
        <v>96</v>
      </c>
      <c r="I9" s="481" t="s">
        <v>97</v>
      </c>
      <c r="J9" s="481" t="s">
        <v>18</v>
      </c>
      <c r="K9" s="481" t="s">
        <v>92</v>
      </c>
      <c r="L9" s="481" t="s">
        <v>96</v>
      </c>
      <c r="M9" s="481" t="s">
        <v>97</v>
      </c>
      <c r="N9" s="481" t="s">
        <v>18</v>
      </c>
      <c r="O9" s="481" t="s">
        <v>142</v>
      </c>
      <c r="P9" s="481" t="s">
        <v>143</v>
      </c>
      <c r="Q9" s="482" t="s">
        <v>144</v>
      </c>
      <c r="R9" s="481" t="s">
        <v>145</v>
      </c>
      <c r="S9" s="484"/>
    </row>
    <row r="10" spans="1:20" s="489" customFormat="1" ht="16.149999999999999" customHeight="1">
      <c r="A10" s="486">
        <v>1</v>
      </c>
      <c r="B10" s="487">
        <v>2</v>
      </c>
      <c r="C10" s="488">
        <v>3</v>
      </c>
      <c r="D10" s="488">
        <v>4</v>
      </c>
      <c r="E10" s="488">
        <v>5</v>
      </c>
      <c r="F10" s="488">
        <v>6</v>
      </c>
      <c r="G10" s="488">
        <v>7</v>
      </c>
      <c r="H10" s="488">
        <v>8</v>
      </c>
      <c r="I10" s="488">
        <v>9</v>
      </c>
      <c r="J10" s="488">
        <v>10</v>
      </c>
      <c r="K10" s="488">
        <v>11</v>
      </c>
      <c r="L10" s="488">
        <v>12</v>
      </c>
      <c r="M10" s="488">
        <v>13</v>
      </c>
      <c r="N10" s="488">
        <v>14</v>
      </c>
      <c r="O10" s="488">
        <v>15</v>
      </c>
      <c r="P10" s="488">
        <v>16</v>
      </c>
      <c r="Q10" s="488">
        <v>17</v>
      </c>
      <c r="R10" s="487">
        <v>18</v>
      </c>
    </row>
    <row r="11" spans="1:20" s="489" customFormat="1" ht="16.149999999999999" customHeight="1">
      <c r="A11" s="490">
        <v>1</v>
      </c>
      <c r="B11" s="491" t="s">
        <v>825</v>
      </c>
      <c r="C11" s="488">
        <v>1244</v>
      </c>
      <c r="D11" s="488"/>
      <c r="E11" s="488"/>
      <c r="F11" s="488">
        <f>E11+D11+C11</f>
        <v>1244</v>
      </c>
      <c r="G11" s="488">
        <v>792</v>
      </c>
      <c r="H11" s="488">
        <v>0</v>
      </c>
      <c r="I11" s="488"/>
      <c r="J11" s="488">
        <v>792</v>
      </c>
      <c r="K11" s="488">
        <v>45</v>
      </c>
      <c r="L11" s="488">
        <v>0</v>
      </c>
      <c r="M11" s="488">
        <v>0</v>
      </c>
      <c r="N11" s="488">
        <v>45</v>
      </c>
      <c r="O11" s="488">
        <v>0</v>
      </c>
      <c r="P11" s="488"/>
      <c r="Q11" s="488"/>
      <c r="R11" s="488">
        <v>0</v>
      </c>
      <c r="S11" s="961"/>
    </row>
    <row r="12" spans="1:20" s="489" customFormat="1" ht="16.149999999999999" customHeight="1">
      <c r="A12" s="490">
        <v>2</v>
      </c>
      <c r="B12" s="491" t="s">
        <v>826</v>
      </c>
      <c r="C12" s="488">
        <v>788</v>
      </c>
      <c r="D12" s="488"/>
      <c r="E12" s="488"/>
      <c r="F12" s="488">
        <f t="shared" ref="F12:F43" si="0">E12+D12+C12</f>
        <v>788</v>
      </c>
      <c r="G12" s="488">
        <v>677</v>
      </c>
      <c r="H12" s="488">
        <v>0</v>
      </c>
      <c r="I12" s="488"/>
      <c r="J12" s="488">
        <v>677</v>
      </c>
      <c r="K12" s="488">
        <v>0</v>
      </c>
      <c r="L12" s="488">
        <v>0</v>
      </c>
      <c r="M12" s="488">
        <v>0</v>
      </c>
      <c r="N12" s="488">
        <v>0</v>
      </c>
      <c r="O12" s="488">
        <v>0</v>
      </c>
      <c r="P12" s="488"/>
      <c r="Q12" s="488"/>
      <c r="R12" s="488">
        <v>0</v>
      </c>
      <c r="S12" s="961"/>
    </row>
    <row r="13" spans="1:20" s="489" customFormat="1" ht="16.149999999999999" customHeight="1">
      <c r="A13" s="490">
        <v>3</v>
      </c>
      <c r="B13" s="491" t="s">
        <v>828</v>
      </c>
      <c r="C13" s="488">
        <v>1432</v>
      </c>
      <c r="D13" s="488"/>
      <c r="E13" s="488"/>
      <c r="F13" s="488">
        <f t="shared" si="0"/>
        <v>1432</v>
      </c>
      <c r="G13" s="488">
        <v>918</v>
      </c>
      <c r="H13" s="488">
        <v>0</v>
      </c>
      <c r="I13" s="488"/>
      <c r="J13" s="488">
        <v>918</v>
      </c>
      <c r="K13" s="488">
        <v>148</v>
      </c>
      <c r="L13" s="488">
        <v>0</v>
      </c>
      <c r="M13" s="488">
        <v>0</v>
      </c>
      <c r="N13" s="488">
        <v>148</v>
      </c>
      <c r="O13" s="488">
        <v>0</v>
      </c>
      <c r="P13" s="488"/>
      <c r="Q13" s="488"/>
      <c r="R13" s="488">
        <v>0</v>
      </c>
      <c r="S13" s="961"/>
    </row>
    <row r="14" spans="1:20" s="489" customFormat="1" ht="16.149999999999999" customHeight="1">
      <c r="A14" s="490">
        <v>4</v>
      </c>
      <c r="B14" s="491" t="s">
        <v>829</v>
      </c>
      <c r="C14" s="488">
        <v>835</v>
      </c>
      <c r="D14" s="488"/>
      <c r="E14" s="488"/>
      <c r="F14" s="488">
        <f t="shared" si="0"/>
        <v>835</v>
      </c>
      <c r="G14" s="488">
        <v>2123</v>
      </c>
      <c r="H14" s="488">
        <v>0</v>
      </c>
      <c r="I14" s="488"/>
      <c r="J14" s="488">
        <v>2123</v>
      </c>
      <c r="K14" s="488">
        <v>223</v>
      </c>
      <c r="L14" s="488">
        <v>0</v>
      </c>
      <c r="M14" s="488">
        <v>0</v>
      </c>
      <c r="N14" s="488">
        <v>223</v>
      </c>
      <c r="O14" s="488">
        <v>0</v>
      </c>
      <c r="P14" s="488"/>
      <c r="Q14" s="488"/>
      <c r="R14" s="488">
        <v>0</v>
      </c>
      <c r="S14" s="961"/>
    </row>
    <row r="15" spans="1:20" s="489" customFormat="1" ht="16.149999999999999" customHeight="1">
      <c r="A15" s="490">
        <v>5</v>
      </c>
      <c r="B15" s="491" t="s">
        <v>830</v>
      </c>
      <c r="C15" s="488">
        <v>2387</v>
      </c>
      <c r="D15" s="488"/>
      <c r="E15" s="488"/>
      <c r="F15" s="488">
        <f t="shared" si="0"/>
        <v>2387</v>
      </c>
      <c r="G15" s="488">
        <v>703</v>
      </c>
      <c r="H15" s="488">
        <v>0</v>
      </c>
      <c r="I15" s="488"/>
      <c r="J15" s="488">
        <v>703</v>
      </c>
      <c r="K15" s="488">
        <v>118</v>
      </c>
      <c r="L15" s="488">
        <v>0</v>
      </c>
      <c r="M15" s="488">
        <v>0</v>
      </c>
      <c r="N15" s="488">
        <v>118</v>
      </c>
      <c r="O15" s="488">
        <v>0</v>
      </c>
      <c r="P15" s="488"/>
      <c r="Q15" s="488"/>
      <c r="R15" s="488">
        <v>0</v>
      </c>
      <c r="S15" s="961"/>
    </row>
    <row r="16" spans="1:20" s="489" customFormat="1" ht="16.149999999999999" customHeight="1">
      <c r="A16" s="490">
        <v>6</v>
      </c>
      <c r="B16" s="491" t="s">
        <v>832</v>
      </c>
      <c r="C16" s="488">
        <v>930</v>
      </c>
      <c r="D16" s="488"/>
      <c r="E16" s="488"/>
      <c r="F16" s="488">
        <f t="shared" si="0"/>
        <v>930</v>
      </c>
      <c r="G16" s="488">
        <v>929</v>
      </c>
      <c r="H16" s="488">
        <v>0</v>
      </c>
      <c r="I16" s="488"/>
      <c r="J16" s="488">
        <v>929</v>
      </c>
      <c r="K16" s="488">
        <v>297</v>
      </c>
      <c r="L16" s="488">
        <v>0</v>
      </c>
      <c r="M16" s="488">
        <v>0</v>
      </c>
      <c r="N16" s="488">
        <v>297</v>
      </c>
      <c r="O16" s="488">
        <v>0</v>
      </c>
      <c r="P16" s="488"/>
      <c r="Q16" s="488"/>
      <c r="R16" s="488">
        <v>0</v>
      </c>
      <c r="S16" s="961"/>
    </row>
    <row r="17" spans="1:45" s="489" customFormat="1" ht="16.149999999999999" customHeight="1">
      <c r="A17" s="490">
        <v>7</v>
      </c>
      <c r="B17" s="491" t="s">
        <v>837</v>
      </c>
      <c r="C17" s="488">
        <v>691</v>
      </c>
      <c r="D17" s="488"/>
      <c r="E17" s="488"/>
      <c r="F17" s="488">
        <f t="shared" si="0"/>
        <v>691</v>
      </c>
      <c r="G17" s="488">
        <v>1170</v>
      </c>
      <c r="H17" s="488">
        <v>0</v>
      </c>
      <c r="I17" s="488"/>
      <c r="J17" s="488">
        <v>1170</v>
      </c>
      <c r="K17" s="488">
        <v>428</v>
      </c>
      <c r="L17" s="488">
        <v>0</v>
      </c>
      <c r="M17" s="488">
        <v>0</v>
      </c>
      <c r="N17" s="488">
        <v>428</v>
      </c>
      <c r="O17" s="488">
        <v>0</v>
      </c>
      <c r="P17" s="488"/>
      <c r="Q17" s="488"/>
      <c r="R17" s="488">
        <v>0</v>
      </c>
      <c r="S17" s="961"/>
    </row>
    <row r="18" spans="1:45" s="489" customFormat="1" ht="16.149999999999999" customHeight="1">
      <c r="A18" s="490">
        <v>8</v>
      </c>
      <c r="B18" s="491" t="s">
        <v>997</v>
      </c>
      <c r="C18" s="488">
        <v>998</v>
      </c>
      <c r="D18" s="488"/>
      <c r="E18" s="488"/>
      <c r="F18" s="488">
        <f t="shared" si="0"/>
        <v>998</v>
      </c>
      <c r="G18" s="488">
        <v>287</v>
      </c>
      <c r="H18" s="488">
        <v>0</v>
      </c>
      <c r="I18" s="488"/>
      <c r="J18" s="488">
        <v>287</v>
      </c>
      <c r="K18" s="488">
        <v>0</v>
      </c>
      <c r="L18" s="488">
        <v>0</v>
      </c>
      <c r="M18" s="488">
        <v>0</v>
      </c>
      <c r="N18" s="488">
        <v>0</v>
      </c>
      <c r="O18" s="488">
        <v>0</v>
      </c>
      <c r="P18" s="488"/>
      <c r="Q18" s="488"/>
      <c r="R18" s="488">
        <v>0</v>
      </c>
      <c r="S18" s="961"/>
    </row>
    <row r="19" spans="1:45" s="489" customFormat="1" ht="16.149999999999999" customHeight="1">
      <c r="A19" s="490">
        <v>9</v>
      </c>
      <c r="B19" s="491" t="s">
        <v>835</v>
      </c>
      <c r="C19" s="488">
        <v>1730</v>
      </c>
      <c r="D19" s="488"/>
      <c r="E19" s="488"/>
      <c r="F19" s="488">
        <f t="shared" si="0"/>
        <v>1730</v>
      </c>
      <c r="G19" s="488">
        <v>256</v>
      </c>
      <c r="H19" s="488">
        <v>0</v>
      </c>
      <c r="I19" s="488"/>
      <c r="J19" s="488">
        <v>256</v>
      </c>
      <c r="K19" s="488">
        <v>0</v>
      </c>
      <c r="L19" s="488">
        <v>0</v>
      </c>
      <c r="M19" s="488">
        <v>0</v>
      </c>
      <c r="N19" s="488">
        <v>0</v>
      </c>
      <c r="O19" s="488">
        <v>0</v>
      </c>
      <c r="P19" s="488"/>
      <c r="Q19" s="488"/>
      <c r="R19" s="488">
        <v>0</v>
      </c>
      <c r="S19" s="961"/>
    </row>
    <row r="20" spans="1:45" s="489" customFormat="1" ht="16.149999999999999" customHeight="1">
      <c r="A20" s="490">
        <v>10</v>
      </c>
      <c r="B20" s="491" t="s">
        <v>838</v>
      </c>
      <c r="C20" s="488">
        <v>378</v>
      </c>
      <c r="D20" s="488"/>
      <c r="E20" s="488"/>
      <c r="F20" s="488">
        <f t="shared" si="0"/>
        <v>378</v>
      </c>
      <c r="G20" s="488">
        <v>1373</v>
      </c>
      <c r="H20" s="488">
        <v>0</v>
      </c>
      <c r="I20" s="488"/>
      <c r="J20" s="488">
        <v>1373</v>
      </c>
      <c r="K20" s="488">
        <v>218</v>
      </c>
      <c r="L20" s="488">
        <v>0</v>
      </c>
      <c r="M20" s="488">
        <v>0</v>
      </c>
      <c r="N20" s="488">
        <v>218</v>
      </c>
      <c r="O20" s="488">
        <v>0</v>
      </c>
      <c r="P20" s="488"/>
      <c r="Q20" s="488"/>
      <c r="R20" s="488">
        <v>0</v>
      </c>
      <c r="S20" s="961"/>
    </row>
    <row r="21" spans="1:45" s="489" customFormat="1" ht="16.149999999999999" customHeight="1">
      <c r="A21" s="490">
        <v>11</v>
      </c>
      <c r="B21" s="491" t="s">
        <v>839</v>
      </c>
      <c r="C21" s="488">
        <v>598</v>
      </c>
      <c r="D21" s="488"/>
      <c r="E21" s="488"/>
      <c r="F21" s="488">
        <f t="shared" si="0"/>
        <v>598</v>
      </c>
      <c r="G21" s="488">
        <v>1232</v>
      </c>
      <c r="H21" s="488">
        <v>0</v>
      </c>
      <c r="I21" s="488"/>
      <c r="J21" s="488">
        <v>1232</v>
      </c>
      <c r="K21" s="488">
        <v>39</v>
      </c>
      <c r="L21" s="488">
        <v>0</v>
      </c>
      <c r="M21" s="488">
        <v>0</v>
      </c>
      <c r="N21" s="488">
        <v>39</v>
      </c>
      <c r="O21" s="488">
        <v>0</v>
      </c>
      <c r="P21" s="488"/>
      <c r="Q21" s="488"/>
      <c r="R21" s="488">
        <v>0</v>
      </c>
      <c r="S21" s="961"/>
    </row>
    <row r="22" spans="1:45" ht="15.75">
      <c r="A22" s="490">
        <v>12</v>
      </c>
      <c r="B22" s="491" t="s">
        <v>998</v>
      </c>
      <c r="C22" s="488">
        <v>1424</v>
      </c>
      <c r="D22" s="488"/>
      <c r="E22" s="488"/>
      <c r="F22" s="488">
        <f t="shared" si="0"/>
        <v>1424</v>
      </c>
      <c r="G22" s="488">
        <v>1569</v>
      </c>
      <c r="H22" s="488">
        <v>0</v>
      </c>
      <c r="I22" s="488"/>
      <c r="J22" s="488">
        <v>1569</v>
      </c>
      <c r="K22" s="488">
        <v>821</v>
      </c>
      <c r="L22" s="488">
        <v>0</v>
      </c>
      <c r="M22" s="488">
        <v>0</v>
      </c>
      <c r="N22" s="488">
        <v>821</v>
      </c>
      <c r="O22" s="488">
        <v>0</v>
      </c>
      <c r="P22" s="488"/>
      <c r="Q22" s="488"/>
      <c r="R22" s="488">
        <v>0</v>
      </c>
      <c r="S22" s="962"/>
      <c r="U22" s="489"/>
    </row>
    <row r="23" spans="1:45" ht="15.75">
      <c r="A23" s="490">
        <v>13</v>
      </c>
      <c r="B23" s="491" t="s">
        <v>999</v>
      </c>
      <c r="C23" s="488">
        <v>1649</v>
      </c>
      <c r="D23" s="488"/>
      <c r="E23" s="488"/>
      <c r="F23" s="488">
        <f t="shared" si="0"/>
        <v>1649</v>
      </c>
      <c r="G23" s="488">
        <v>1561</v>
      </c>
      <c r="H23" s="488">
        <v>0</v>
      </c>
      <c r="I23" s="488"/>
      <c r="J23" s="488">
        <v>1561</v>
      </c>
      <c r="K23" s="488">
        <v>790</v>
      </c>
      <c r="L23" s="488">
        <v>0</v>
      </c>
      <c r="M23" s="488">
        <v>0</v>
      </c>
      <c r="N23" s="488">
        <v>790</v>
      </c>
      <c r="O23" s="488">
        <v>0</v>
      </c>
      <c r="P23" s="488"/>
      <c r="Q23" s="488"/>
      <c r="R23" s="488">
        <v>0</v>
      </c>
      <c r="S23" s="962"/>
      <c r="U23" s="489"/>
    </row>
    <row r="24" spans="1:45" ht="15.75">
      <c r="A24" s="490">
        <v>14</v>
      </c>
      <c r="B24" s="491" t="s">
        <v>841</v>
      </c>
      <c r="C24" s="488">
        <v>762</v>
      </c>
      <c r="D24" s="488"/>
      <c r="E24" s="488"/>
      <c r="F24" s="488">
        <f t="shared" si="0"/>
        <v>762</v>
      </c>
      <c r="G24" s="488">
        <v>996</v>
      </c>
      <c r="H24" s="488">
        <v>0</v>
      </c>
      <c r="I24" s="488"/>
      <c r="J24" s="488">
        <v>996</v>
      </c>
      <c r="K24" s="488">
        <v>31</v>
      </c>
      <c r="L24" s="488">
        <v>0</v>
      </c>
      <c r="M24" s="488">
        <v>0</v>
      </c>
      <c r="N24" s="488">
        <v>31</v>
      </c>
      <c r="O24" s="488">
        <v>0</v>
      </c>
      <c r="P24" s="488"/>
      <c r="Q24" s="488"/>
      <c r="R24" s="488">
        <v>0</v>
      </c>
      <c r="S24" s="962"/>
      <c r="U24" s="489"/>
    </row>
    <row r="25" spans="1:45" ht="15.75">
      <c r="A25" s="490">
        <v>15</v>
      </c>
      <c r="B25" s="491" t="s">
        <v>1000</v>
      </c>
      <c r="C25" s="488">
        <v>761</v>
      </c>
      <c r="D25" s="488"/>
      <c r="E25" s="488"/>
      <c r="F25" s="488">
        <f t="shared" si="0"/>
        <v>761</v>
      </c>
      <c r="G25" s="488">
        <v>280</v>
      </c>
      <c r="H25" s="488">
        <v>0</v>
      </c>
      <c r="I25" s="488"/>
      <c r="J25" s="488">
        <v>280</v>
      </c>
      <c r="K25" s="488">
        <v>0</v>
      </c>
      <c r="L25" s="488">
        <v>0</v>
      </c>
      <c r="M25" s="488">
        <v>0</v>
      </c>
      <c r="N25" s="488">
        <v>0</v>
      </c>
      <c r="O25" s="488">
        <v>0</v>
      </c>
      <c r="P25" s="488"/>
      <c r="Q25" s="488"/>
      <c r="R25" s="488">
        <v>0</v>
      </c>
      <c r="S25" s="962"/>
      <c r="U25" s="489"/>
    </row>
    <row r="26" spans="1:45" s="493" customFormat="1" ht="15.75">
      <c r="A26" s="490">
        <v>16</v>
      </c>
      <c r="B26" s="491" t="s">
        <v>849</v>
      </c>
      <c r="C26" s="488">
        <v>326</v>
      </c>
      <c r="D26" s="488"/>
      <c r="E26" s="488"/>
      <c r="F26" s="488">
        <f t="shared" si="0"/>
        <v>326</v>
      </c>
      <c r="G26" s="488">
        <v>226</v>
      </c>
      <c r="H26" s="488">
        <v>0</v>
      </c>
      <c r="I26" s="488"/>
      <c r="J26" s="488">
        <v>226</v>
      </c>
      <c r="K26" s="488">
        <v>42</v>
      </c>
      <c r="L26" s="488">
        <v>0</v>
      </c>
      <c r="M26" s="488">
        <v>0</v>
      </c>
      <c r="N26" s="488">
        <v>42</v>
      </c>
      <c r="O26" s="488">
        <v>0</v>
      </c>
      <c r="P26" s="488"/>
      <c r="Q26" s="488"/>
      <c r="R26" s="488">
        <v>0</v>
      </c>
      <c r="S26" s="963"/>
      <c r="T26" s="492"/>
      <c r="U26" s="489"/>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row>
    <row r="27" spans="1:45" ht="15.75">
      <c r="A27" s="490">
        <v>17</v>
      </c>
      <c r="B27" s="491" t="s">
        <v>1001</v>
      </c>
      <c r="C27" s="488">
        <v>1052</v>
      </c>
      <c r="D27" s="488"/>
      <c r="E27" s="488"/>
      <c r="F27" s="488">
        <f t="shared" si="0"/>
        <v>1052</v>
      </c>
      <c r="G27" s="488">
        <v>1650</v>
      </c>
      <c r="H27" s="488">
        <v>0</v>
      </c>
      <c r="I27" s="488"/>
      <c r="J27" s="488">
        <v>1650</v>
      </c>
      <c r="K27" s="488">
        <v>15</v>
      </c>
      <c r="L27" s="488">
        <v>0</v>
      </c>
      <c r="M27" s="488">
        <v>0</v>
      </c>
      <c r="N27" s="488">
        <v>15</v>
      </c>
      <c r="O27" s="488">
        <v>0</v>
      </c>
      <c r="P27" s="488"/>
      <c r="Q27" s="488"/>
      <c r="R27" s="488">
        <v>0</v>
      </c>
      <c r="S27" s="962"/>
      <c r="U27" s="489"/>
    </row>
    <row r="28" spans="1:45" ht="15.75">
      <c r="A28" s="490">
        <v>18</v>
      </c>
      <c r="B28" s="491" t="s">
        <v>842</v>
      </c>
      <c r="C28" s="488">
        <v>810</v>
      </c>
      <c r="D28" s="488"/>
      <c r="E28" s="488"/>
      <c r="F28" s="488">
        <f t="shared" si="0"/>
        <v>810</v>
      </c>
      <c r="G28" s="488">
        <v>669</v>
      </c>
      <c r="H28" s="488">
        <v>0</v>
      </c>
      <c r="I28" s="488"/>
      <c r="J28" s="488">
        <v>669</v>
      </c>
      <c r="K28" s="488">
        <v>499</v>
      </c>
      <c r="L28" s="488">
        <v>0</v>
      </c>
      <c r="M28" s="488">
        <v>0</v>
      </c>
      <c r="N28" s="488">
        <v>499</v>
      </c>
      <c r="O28" s="488">
        <v>0</v>
      </c>
      <c r="P28" s="488"/>
      <c r="Q28" s="488"/>
      <c r="R28" s="488">
        <v>0</v>
      </c>
      <c r="S28" s="963"/>
      <c r="T28" s="492"/>
      <c r="U28" s="489"/>
    </row>
    <row r="29" spans="1:45" ht="15.75">
      <c r="A29" s="490">
        <v>19</v>
      </c>
      <c r="B29" s="491" t="s">
        <v>840</v>
      </c>
      <c r="C29" s="488">
        <v>977</v>
      </c>
      <c r="D29" s="488"/>
      <c r="E29" s="488"/>
      <c r="F29" s="488">
        <f t="shared" si="0"/>
        <v>977</v>
      </c>
      <c r="G29" s="488">
        <v>387</v>
      </c>
      <c r="H29" s="488">
        <v>0</v>
      </c>
      <c r="I29" s="488"/>
      <c r="J29" s="488">
        <v>387</v>
      </c>
      <c r="K29" s="488">
        <v>0</v>
      </c>
      <c r="L29" s="488">
        <v>0</v>
      </c>
      <c r="M29" s="488">
        <v>0</v>
      </c>
      <c r="N29" s="488">
        <v>0</v>
      </c>
      <c r="O29" s="488">
        <v>0</v>
      </c>
      <c r="P29" s="488"/>
      <c r="Q29" s="488"/>
      <c r="R29" s="488">
        <v>0</v>
      </c>
      <c r="S29" s="963"/>
      <c r="T29" s="492"/>
      <c r="U29" s="489"/>
    </row>
    <row r="30" spans="1:45" s="16" customFormat="1" ht="15.75">
      <c r="A30" s="490">
        <v>20</v>
      </c>
      <c r="B30" s="491" t="s">
        <v>843</v>
      </c>
      <c r="C30" s="488">
        <v>1244</v>
      </c>
      <c r="D30" s="488"/>
      <c r="E30" s="488"/>
      <c r="F30" s="488">
        <f t="shared" si="0"/>
        <v>1244</v>
      </c>
      <c r="G30" s="488">
        <v>1251</v>
      </c>
      <c r="H30" s="488">
        <v>0</v>
      </c>
      <c r="I30" s="488"/>
      <c r="J30" s="488">
        <v>1251</v>
      </c>
      <c r="K30" s="488">
        <v>664</v>
      </c>
      <c r="L30" s="488">
        <v>0</v>
      </c>
      <c r="M30" s="488">
        <v>0</v>
      </c>
      <c r="N30" s="488">
        <v>664</v>
      </c>
      <c r="O30" s="488">
        <v>0</v>
      </c>
      <c r="P30" s="488"/>
      <c r="Q30" s="488"/>
      <c r="R30" s="488">
        <v>0</v>
      </c>
      <c r="S30" s="964"/>
      <c r="T30" s="23"/>
      <c r="U30" s="489"/>
    </row>
    <row r="31" spans="1:45" s="16" customFormat="1" ht="12.75" customHeight="1">
      <c r="A31" s="490">
        <v>21</v>
      </c>
      <c r="B31" s="491" t="s">
        <v>844</v>
      </c>
      <c r="C31" s="488">
        <v>1319</v>
      </c>
      <c r="D31" s="488"/>
      <c r="E31" s="488"/>
      <c r="F31" s="488">
        <f t="shared" si="0"/>
        <v>1319</v>
      </c>
      <c r="G31" s="488">
        <v>1867</v>
      </c>
      <c r="H31" s="488">
        <v>0</v>
      </c>
      <c r="I31" s="488"/>
      <c r="J31" s="488">
        <v>1867</v>
      </c>
      <c r="K31" s="488">
        <v>459</v>
      </c>
      <c r="L31" s="488">
        <v>0</v>
      </c>
      <c r="M31" s="488">
        <v>0</v>
      </c>
      <c r="N31" s="488">
        <v>459</v>
      </c>
      <c r="O31" s="488">
        <v>0</v>
      </c>
      <c r="P31" s="488"/>
      <c r="Q31" s="488"/>
      <c r="R31" s="488">
        <v>0</v>
      </c>
      <c r="S31" s="829"/>
      <c r="T31" s="23"/>
      <c r="U31" s="489"/>
    </row>
    <row r="32" spans="1:45" s="16" customFormat="1" ht="12.75" customHeight="1">
      <c r="A32" s="490">
        <v>22</v>
      </c>
      <c r="B32" s="491" t="s">
        <v>845</v>
      </c>
      <c r="C32" s="488">
        <v>870</v>
      </c>
      <c r="D32" s="488"/>
      <c r="E32" s="488"/>
      <c r="F32" s="488">
        <f t="shared" si="0"/>
        <v>870</v>
      </c>
      <c r="G32" s="488">
        <v>646</v>
      </c>
      <c r="H32" s="488">
        <v>0</v>
      </c>
      <c r="I32" s="488"/>
      <c r="J32" s="488">
        <v>646</v>
      </c>
      <c r="K32" s="488">
        <v>145</v>
      </c>
      <c r="L32" s="488">
        <v>0</v>
      </c>
      <c r="M32" s="488">
        <v>0</v>
      </c>
      <c r="N32" s="488">
        <v>145</v>
      </c>
      <c r="O32" s="488">
        <v>0</v>
      </c>
      <c r="P32" s="488"/>
      <c r="Q32" s="488"/>
      <c r="R32" s="488">
        <v>0</v>
      </c>
      <c r="S32" s="829"/>
      <c r="T32" s="23"/>
      <c r="U32" s="489"/>
    </row>
    <row r="33" spans="1:21" s="16" customFormat="1" ht="15.75">
      <c r="A33" s="490">
        <v>23</v>
      </c>
      <c r="B33" s="491" t="s">
        <v>846</v>
      </c>
      <c r="C33" s="488">
        <v>1210</v>
      </c>
      <c r="D33" s="488"/>
      <c r="E33" s="488"/>
      <c r="F33" s="488">
        <f t="shared" si="0"/>
        <v>1210</v>
      </c>
      <c r="G33" s="488">
        <v>696</v>
      </c>
      <c r="H33" s="488">
        <v>0</v>
      </c>
      <c r="I33" s="488"/>
      <c r="J33" s="488">
        <v>696</v>
      </c>
      <c r="K33" s="488">
        <v>592</v>
      </c>
      <c r="L33" s="488">
        <v>0</v>
      </c>
      <c r="M33" s="488">
        <v>0</v>
      </c>
      <c r="N33" s="488">
        <v>592</v>
      </c>
      <c r="O33" s="488">
        <v>0</v>
      </c>
      <c r="P33" s="488"/>
      <c r="Q33" s="488"/>
      <c r="R33" s="488">
        <v>0</v>
      </c>
      <c r="S33" s="829"/>
      <c r="T33" s="23"/>
      <c r="U33" s="489"/>
    </row>
    <row r="34" spans="1:21" ht="15.75">
      <c r="A34" s="490">
        <v>24</v>
      </c>
      <c r="B34" s="491" t="s">
        <v>850</v>
      </c>
      <c r="C34" s="488">
        <v>996</v>
      </c>
      <c r="D34" s="488"/>
      <c r="E34" s="488"/>
      <c r="F34" s="488">
        <f t="shared" si="0"/>
        <v>996</v>
      </c>
      <c r="G34" s="488">
        <v>239</v>
      </c>
      <c r="H34" s="488">
        <v>0</v>
      </c>
      <c r="I34" s="488"/>
      <c r="J34" s="488">
        <v>239</v>
      </c>
      <c r="K34" s="488">
        <v>355</v>
      </c>
      <c r="L34" s="488">
        <v>0</v>
      </c>
      <c r="M34" s="488">
        <v>0</v>
      </c>
      <c r="N34" s="488">
        <v>355</v>
      </c>
      <c r="O34" s="488">
        <v>0</v>
      </c>
      <c r="P34" s="488"/>
      <c r="Q34" s="488"/>
      <c r="R34" s="488">
        <v>0</v>
      </c>
      <c r="S34" s="963"/>
      <c r="T34" s="492"/>
      <c r="U34" s="489"/>
    </row>
    <row r="35" spans="1:21" ht="15.75">
      <c r="A35" s="490">
        <v>25</v>
      </c>
      <c r="B35" s="491" t="s">
        <v>847</v>
      </c>
      <c r="C35" s="488">
        <v>750</v>
      </c>
      <c r="D35" s="488"/>
      <c r="E35" s="488"/>
      <c r="F35" s="488">
        <f t="shared" si="0"/>
        <v>750</v>
      </c>
      <c r="G35" s="488">
        <v>1521</v>
      </c>
      <c r="H35" s="488">
        <v>0</v>
      </c>
      <c r="I35" s="488"/>
      <c r="J35" s="488">
        <v>1521</v>
      </c>
      <c r="K35" s="488">
        <v>306</v>
      </c>
      <c r="L35" s="488">
        <v>0</v>
      </c>
      <c r="M35" s="488">
        <v>0</v>
      </c>
      <c r="N35" s="488">
        <v>306</v>
      </c>
      <c r="O35" s="488">
        <v>0</v>
      </c>
      <c r="P35" s="488"/>
      <c r="Q35" s="488"/>
      <c r="R35" s="488">
        <v>0</v>
      </c>
      <c r="S35" s="963"/>
      <c r="T35" s="492"/>
      <c r="U35" s="489"/>
    </row>
    <row r="36" spans="1:21" ht="15.75">
      <c r="A36" s="490">
        <v>26</v>
      </c>
      <c r="B36" s="491" t="s">
        <v>848</v>
      </c>
      <c r="C36" s="488">
        <v>804</v>
      </c>
      <c r="D36" s="488"/>
      <c r="E36" s="488"/>
      <c r="F36" s="488">
        <f t="shared" si="0"/>
        <v>804</v>
      </c>
      <c r="G36" s="488">
        <v>528</v>
      </c>
      <c r="H36" s="488">
        <v>0</v>
      </c>
      <c r="I36" s="488"/>
      <c r="J36" s="488">
        <v>528</v>
      </c>
      <c r="K36" s="488">
        <v>636</v>
      </c>
      <c r="L36" s="488">
        <v>0</v>
      </c>
      <c r="M36" s="488">
        <v>0</v>
      </c>
      <c r="N36" s="488">
        <v>636</v>
      </c>
      <c r="O36" s="488">
        <v>0</v>
      </c>
      <c r="P36" s="488"/>
      <c r="Q36" s="488"/>
      <c r="R36" s="488">
        <v>0</v>
      </c>
      <c r="S36" s="963"/>
      <c r="T36" s="492"/>
      <c r="U36" s="489"/>
    </row>
    <row r="37" spans="1:21" ht="15.75">
      <c r="A37" s="490">
        <v>27</v>
      </c>
      <c r="B37" s="491" t="s">
        <v>851</v>
      </c>
      <c r="C37" s="488">
        <v>1261</v>
      </c>
      <c r="D37" s="488"/>
      <c r="E37" s="488"/>
      <c r="F37" s="488">
        <f t="shared" si="0"/>
        <v>1261</v>
      </c>
      <c r="G37" s="488">
        <v>68</v>
      </c>
      <c r="H37" s="488">
        <v>0</v>
      </c>
      <c r="I37" s="488"/>
      <c r="J37" s="488">
        <v>68</v>
      </c>
      <c r="K37" s="488">
        <v>0</v>
      </c>
      <c r="L37" s="488">
        <v>0</v>
      </c>
      <c r="M37" s="488">
        <v>0</v>
      </c>
      <c r="N37" s="488">
        <v>0</v>
      </c>
      <c r="O37" s="488">
        <v>0</v>
      </c>
      <c r="P37" s="488"/>
      <c r="Q37" s="488"/>
      <c r="R37" s="488">
        <v>0</v>
      </c>
      <c r="S37" s="963"/>
      <c r="T37" s="492"/>
      <c r="U37" s="489"/>
    </row>
    <row r="38" spans="1:21" ht="15.75">
      <c r="A38" s="490">
        <v>28</v>
      </c>
      <c r="B38" s="491" t="s">
        <v>852</v>
      </c>
      <c r="C38" s="488">
        <v>252</v>
      </c>
      <c r="D38" s="488"/>
      <c r="E38" s="488"/>
      <c r="F38" s="488">
        <f t="shared" si="0"/>
        <v>252</v>
      </c>
      <c r="G38" s="488">
        <v>76</v>
      </c>
      <c r="H38" s="488">
        <v>0</v>
      </c>
      <c r="I38" s="488"/>
      <c r="J38" s="488">
        <v>76</v>
      </c>
      <c r="K38" s="488">
        <v>0</v>
      </c>
      <c r="L38" s="488">
        <v>0</v>
      </c>
      <c r="M38" s="488">
        <v>0</v>
      </c>
      <c r="N38" s="488">
        <v>0</v>
      </c>
      <c r="O38" s="488">
        <v>0</v>
      </c>
      <c r="P38" s="488"/>
      <c r="Q38" s="488"/>
      <c r="R38" s="488">
        <v>0</v>
      </c>
      <c r="S38" s="963"/>
      <c r="T38" s="492"/>
      <c r="U38" s="489"/>
    </row>
    <row r="39" spans="1:21" ht="15.75">
      <c r="A39" s="490">
        <v>29</v>
      </c>
      <c r="B39" s="491" t="s">
        <v>853</v>
      </c>
      <c r="C39" s="488">
        <v>1259</v>
      </c>
      <c r="D39" s="488"/>
      <c r="E39" s="488"/>
      <c r="F39" s="488">
        <f t="shared" si="0"/>
        <v>1259</v>
      </c>
      <c r="G39" s="488">
        <v>25</v>
      </c>
      <c r="H39" s="488">
        <v>0</v>
      </c>
      <c r="I39" s="488"/>
      <c r="J39" s="488">
        <v>25</v>
      </c>
      <c r="K39" s="488">
        <v>0</v>
      </c>
      <c r="L39" s="488">
        <v>0</v>
      </c>
      <c r="M39" s="488">
        <v>0</v>
      </c>
      <c r="N39" s="488">
        <v>0</v>
      </c>
      <c r="O39" s="488">
        <v>0</v>
      </c>
      <c r="P39" s="488"/>
      <c r="Q39" s="488"/>
      <c r="R39" s="488">
        <v>0</v>
      </c>
      <c r="S39" s="963"/>
      <c r="T39" s="492"/>
      <c r="U39" s="489"/>
    </row>
    <row r="40" spans="1:21" ht="15.75">
      <c r="A40" s="490">
        <v>30</v>
      </c>
      <c r="B40" s="491" t="s">
        <v>1002</v>
      </c>
      <c r="C40" s="488">
        <v>646</v>
      </c>
      <c r="D40" s="488"/>
      <c r="E40" s="488"/>
      <c r="F40" s="488">
        <f t="shared" si="0"/>
        <v>646</v>
      </c>
      <c r="G40" s="488">
        <v>89</v>
      </c>
      <c r="H40" s="488">
        <v>0</v>
      </c>
      <c r="I40" s="488"/>
      <c r="J40" s="488">
        <v>89</v>
      </c>
      <c r="K40" s="488">
        <v>0</v>
      </c>
      <c r="L40" s="488">
        <v>0</v>
      </c>
      <c r="M40" s="488">
        <v>0</v>
      </c>
      <c r="N40" s="488">
        <v>0</v>
      </c>
      <c r="O40" s="488">
        <v>0</v>
      </c>
      <c r="P40" s="488"/>
      <c r="Q40" s="488"/>
      <c r="R40" s="488">
        <v>0</v>
      </c>
      <c r="S40" s="963"/>
      <c r="T40" s="492"/>
      <c r="U40" s="489"/>
    </row>
    <row r="41" spans="1:21" ht="15.75">
      <c r="A41" s="490">
        <v>31</v>
      </c>
      <c r="B41" s="491" t="s">
        <v>855</v>
      </c>
      <c r="C41" s="488">
        <v>557</v>
      </c>
      <c r="D41" s="488"/>
      <c r="E41" s="488"/>
      <c r="F41" s="488">
        <f t="shared" si="0"/>
        <v>557</v>
      </c>
      <c r="G41" s="488">
        <v>92</v>
      </c>
      <c r="H41" s="488">
        <v>0</v>
      </c>
      <c r="I41" s="488"/>
      <c r="J41" s="488">
        <v>92</v>
      </c>
      <c r="K41" s="488">
        <v>0</v>
      </c>
      <c r="L41" s="488">
        <v>0</v>
      </c>
      <c r="M41" s="488">
        <v>0</v>
      </c>
      <c r="N41" s="488">
        <v>0</v>
      </c>
      <c r="O41" s="488">
        <v>0</v>
      </c>
      <c r="P41" s="488"/>
      <c r="Q41" s="488"/>
      <c r="R41" s="488">
        <v>0</v>
      </c>
      <c r="S41" s="963"/>
      <c r="T41" s="492"/>
      <c r="U41" s="489"/>
    </row>
    <row r="42" spans="1:21" ht="15.75">
      <c r="A42" s="490">
        <v>32</v>
      </c>
      <c r="B42" s="491" t="s">
        <v>856</v>
      </c>
      <c r="C42" s="488">
        <v>1229</v>
      </c>
      <c r="D42" s="488"/>
      <c r="E42" s="488"/>
      <c r="F42" s="488">
        <f t="shared" si="0"/>
        <v>1229</v>
      </c>
      <c r="G42" s="488">
        <v>97</v>
      </c>
      <c r="H42" s="488">
        <v>0</v>
      </c>
      <c r="I42" s="488"/>
      <c r="J42" s="488">
        <v>97</v>
      </c>
      <c r="K42" s="488">
        <v>0</v>
      </c>
      <c r="L42" s="488">
        <v>0</v>
      </c>
      <c r="M42" s="488">
        <v>0</v>
      </c>
      <c r="N42" s="488">
        <v>0</v>
      </c>
      <c r="O42" s="488">
        <v>0</v>
      </c>
      <c r="P42" s="488"/>
      <c r="Q42" s="488"/>
      <c r="R42" s="488">
        <v>0</v>
      </c>
      <c r="S42" s="963"/>
      <c r="T42" s="492"/>
      <c r="U42" s="489"/>
    </row>
    <row r="43" spans="1:21" ht="15.75">
      <c r="A43" s="490">
        <v>33</v>
      </c>
      <c r="B43" s="491" t="s">
        <v>857</v>
      </c>
      <c r="C43" s="488">
        <v>566</v>
      </c>
      <c r="D43" s="488"/>
      <c r="E43" s="488"/>
      <c r="F43" s="488">
        <f t="shared" si="0"/>
        <v>566</v>
      </c>
      <c r="G43" s="488">
        <v>84</v>
      </c>
      <c r="H43" s="488">
        <v>0</v>
      </c>
      <c r="I43" s="488"/>
      <c r="J43" s="488">
        <v>84</v>
      </c>
      <c r="K43" s="488">
        <v>0</v>
      </c>
      <c r="L43" s="488">
        <v>0</v>
      </c>
      <c r="M43" s="488">
        <v>0</v>
      </c>
      <c r="N43" s="488">
        <v>0</v>
      </c>
      <c r="O43" s="488">
        <v>0</v>
      </c>
      <c r="P43" s="488"/>
      <c r="Q43" s="488"/>
      <c r="R43" s="488">
        <v>0</v>
      </c>
      <c r="S43" s="492"/>
      <c r="T43" s="492"/>
      <c r="U43" s="489"/>
    </row>
    <row r="44" spans="1:21" ht="15.75">
      <c r="A44" s="1573" t="s">
        <v>1003</v>
      </c>
      <c r="B44" s="1573"/>
      <c r="C44" s="488">
        <f>SUM(C11:C43)</f>
        <v>32735</v>
      </c>
      <c r="D44" s="488">
        <f t="shared" ref="D44:R44" si="1">SUM(D11:D43)</f>
        <v>0</v>
      </c>
      <c r="E44" s="488">
        <f t="shared" si="1"/>
        <v>0</v>
      </c>
      <c r="F44" s="488">
        <f t="shared" si="1"/>
        <v>32735</v>
      </c>
      <c r="G44" s="488">
        <v>25077</v>
      </c>
      <c r="H44" s="488">
        <v>0</v>
      </c>
      <c r="I44" s="488">
        <v>0</v>
      </c>
      <c r="J44" s="488">
        <v>25077</v>
      </c>
      <c r="K44" s="488">
        <f>SUM(K11:K43)</f>
        <v>6871</v>
      </c>
      <c r="L44" s="488">
        <f t="shared" si="1"/>
        <v>0</v>
      </c>
      <c r="M44" s="488">
        <f t="shared" si="1"/>
        <v>0</v>
      </c>
      <c r="N44" s="488">
        <f t="shared" si="1"/>
        <v>6871</v>
      </c>
      <c r="O44" s="488">
        <v>0</v>
      </c>
      <c r="P44" s="488">
        <f t="shared" si="1"/>
        <v>0</v>
      </c>
      <c r="Q44" s="488">
        <f t="shared" si="1"/>
        <v>0</v>
      </c>
      <c r="R44" s="488">
        <f t="shared" si="1"/>
        <v>0</v>
      </c>
      <c r="S44" s="1004"/>
      <c r="T44" s="1004"/>
      <c r="U44" s="1004"/>
    </row>
    <row r="45" spans="1:21" ht="15.75">
      <c r="A45" s="1006"/>
      <c r="B45" s="1006"/>
      <c r="C45" s="1007"/>
      <c r="D45" s="1007"/>
      <c r="E45" s="1007"/>
      <c r="F45" s="1007"/>
      <c r="G45" s="1007"/>
      <c r="H45" s="1007"/>
      <c r="I45" s="1007"/>
      <c r="J45" s="1007"/>
      <c r="K45" s="1007"/>
      <c r="L45" s="1007"/>
      <c r="M45" s="1007"/>
      <c r="N45" s="1007"/>
      <c r="O45" s="1007"/>
      <c r="P45" s="1007"/>
      <c r="Q45" s="1007"/>
      <c r="R45" s="1007"/>
      <c r="S45" s="1004"/>
      <c r="T45" s="1004"/>
      <c r="U45" s="1004"/>
    </row>
    <row r="46" spans="1:21">
      <c r="S46" s="492"/>
      <c r="T46" s="492"/>
      <c r="U46" s="492"/>
    </row>
    <row r="47" spans="1:21" s="994" customFormat="1" ht="15.6" customHeight="1">
      <c r="A47" s="15" t="s">
        <v>12</v>
      </c>
      <c r="B47" s="15"/>
      <c r="C47" s="15"/>
      <c r="N47" s="1040" t="s">
        <v>1106</v>
      </c>
      <c r="O47" s="1040"/>
      <c r="P47" s="1040"/>
      <c r="Q47" s="1040"/>
    </row>
    <row r="48" spans="1:21" s="994" customFormat="1" ht="15.6" customHeight="1">
      <c r="N48" s="1040" t="s">
        <v>481</v>
      </c>
      <c r="O48" s="1040"/>
      <c r="P48" s="1040"/>
      <c r="Q48" s="1040"/>
    </row>
    <row r="49" spans="1:18" s="994" customFormat="1" ht="15.6" customHeight="1">
      <c r="N49" s="1040" t="s">
        <v>1107</v>
      </c>
      <c r="O49" s="1040"/>
      <c r="P49" s="1040"/>
      <c r="Q49" s="1040"/>
    </row>
    <row r="50" spans="1:18" s="222" customFormat="1" ht="12.75">
      <c r="A50" s="229"/>
      <c r="B50" s="229"/>
      <c r="H50" s="229"/>
      <c r="I50" s="229"/>
      <c r="J50" s="229"/>
      <c r="K50" s="229"/>
      <c r="L50" s="229"/>
      <c r="M50" s="229"/>
      <c r="N50" s="229"/>
      <c r="O50" s="229"/>
      <c r="P50" s="229"/>
      <c r="Q50" s="229"/>
      <c r="R50" s="229"/>
    </row>
    <row r="51" spans="1:18">
      <c r="J51" s="968"/>
    </row>
  </sheetData>
  <mergeCells count="15">
    <mergeCell ref="N47:Q47"/>
    <mergeCell ref="N48:Q48"/>
    <mergeCell ref="N49:Q49"/>
    <mergeCell ref="A44:B44"/>
    <mergeCell ref="R1:S1"/>
    <mergeCell ref="B4:T4"/>
    <mergeCell ref="A6:B6"/>
    <mergeCell ref="A8:A9"/>
    <mergeCell ref="B8:B9"/>
    <mergeCell ref="G1:M1"/>
    <mergeCell ref="E2:O2"/>
    <mergeCell ref="O8:R8"/>
    <mergeCell ref="C8:F8"/>
    <mergeCell ref="K8:N8"/>
    <mergeCell ref="G8:J8"/>
  </mergeCells>
  <phoneticPr fontId="0" type="noConversion"/>
  <printOptions horizontalCentered="1"/>
  <pageMargins left="0.70866141732283472" right="0.70866141732283472" top="0.63" bottom="0" header="0.79" footer="0.31496062992125984"/>
  <pageSetup paperSize="9" scale="64" orientation="landscape" r:id="rId1"/>
</worksheet>
</file>

<file path=xl/worksheets/sheet63.xml><?xml version="1.0" encoding="utf-8"?>
<worksheet xmlns="http://schemas.openxmlformats.org/spreadsheetml/2006/main" xmlns:r="http://schemas.openxmlformats.org/officeDocument/2006/relationships">
  <sheetPr>
    <pageSetUpPr fitToPage="1"/>
  </sheetPr>
  <dimension ref="A1:T51"/>
  <sheetViews>
    <sheetView topLeftCell="A34" zoomScale="60" zoomScaleNormal="60" zoomScaleSheetLayoutView="100" workbookViewId="0">
      <selection activeCell="E60" sqref="E60"/>
    </sheetView>
  </sheetViews>
  <sheetFormatPr defaultColWidth="9.140625" defaultRowHeight="15"/>
  <cols>
    <col min="1" max="1" width="7.85546875" style="68" customWidth="1"/>
    <col min="2" max="2" width="16.28515625" style="68" customWidth="1"/>
    <col min="3" max="3" width="13.85546875" style="68" customWidth="1"/>
    <col min="4" max="4" width="14.85546875" style="68" customWidth="1"/>
    <col min="5" max="5" width="11.85546875" style="68" customWidth="1"/>
    <col min="6" max="6" width="9.85546875" style="68" customWidth="1"/>
    <col min="7" max="7" width="12.7109375" style="68" customWidth="1"/>
    <col min="8" max="9" width="11" style="68" customWidth="1"/>
    <col min="10" max="10" width="14.140625" style="68" customWidth="1"/>
    <col min="11" max="11" width="12.28515625" style="68" customWidth="1"/>
    <col min="12" max="12" width="13.140625" style="68" customWidth="1"/>
    <col min="13" max="13" width="9.7109375" style="68" customWidth="1"/>
    <col min="14" max="14" width="9.5703125" style="68" customWidth="1"/>
    <col min="15" max="15" width="12.7109375" style="68" customWidth="1"/>
    <col min="16" max="16" width="13.28515625" style="68" customWidth="1"/>
    <col min="17" max="17" width="11.28515625" style="68" customWidth="1"/>
    <col min="18" max="18" width="9.28515625" style="68" customWidth="1"/>
    <col min="19" max="19" width="15.5703125" style="68" customWidth="1"/>
    <col min="20" max="20" width="12.28515625" style="68" customWidth="1"/>
    <col min="21" max="16384" width="9.140625" style="68"/>
  </cols>
  <sheetData>
    <row r="1" spans="1:20" s="16" customFormat="1" ht="15.75">
      <c r="C1" s="41"/>
      <c r="D1" s="41"/>
      <c r="E1" s="41"/>
      <c r="F1" s="41"/>
      <c r="G1" s="41"/>
      <c r="H1" s="41"/>
      <c r="I1" s="101" t="s">
        <v>0</v>
      </c>
      <c r="J1" s="41"/>
      <c r="Q1" s="1272" t="s">
        <v>538</v>
      </c>
      <c r="R1" s="1272"/>
    </row>
    <row r="2" spans="1:20" s="16" customFormat="1" ht="20.25">
      <c r="G2" s="1112" t="s">
        <v>636</v>
      </c>
      <c r="H2" s="1112"/>
      <c r="I2" s="1112"/>
      <c r="J2" s="1112"/>
      <c r="K2" s="1112"/>
      <c r="L2" s="1112"/>
      <c r="M2" s="1112"/>
      <c r="N2" s="40"/>
      <c r="O2" s="40"/>
      <c r="P2" s="40"/>
      <c r="Q2" s="40"/>
    </row>
    <row r="3" spans="1:20" s="16" customFormat="1" ht="20.25">
      <c r="G3" s="113"/>
      <c r="H3" s="113"/>
      <c r="I3" s="113"/>
      <c r="J3" s="113"/>
      <c r="K3" s="113"/>
      <c r="L3" s="113"/>
      <c r="M3" s="113"/>
      <c r="N3" s="40"/>
      <c r="O3" s="40"/>
      <c r="P3" s="40"/>
      <c r="Q3" s="40"/>
    </row>
    <row r="4" spans="1:20" ht="18">
      <c r="B4" s="1582" t="s">
        <v>717</v>
      </c>
      <c r="C4" s="1582"/>
      <c r="D4" s="1582"/>
      <c r="E4" s="1582"/>
      <c r="F4" s="1582"/>
      <c r="G4" s="1582"/>
      <c r="H4" s="1582"/>
      <c r="I4" s="1582"/>
      <c r="J4" s="1582"/>
      <c r="K4" s="1582"/>
      <c r="L4" s="1582"/>
      <c r="M4" s="1582"/>
      <c r="N4" s="1582"/>
      <c r="O4" s="1582"/>
      <c r="P4" s="1582"/>
      <c r="Q4" s="1582"/>
      <c r="R4" s="1582"/>
      <c r="S4" s="1582"/>
      <c r="T4" s="647"/>
    </row>
    <row r="5" spans="1:20" ht="15.75">
      <c r="C5" s="69"/>
      <c r="D5" s="70"/>
      <c r="E5" s="69"/>
      <c r="F5" s="69"/>
      <c r="G5" s="69"/>
      <c r="H5" s="69"/>
      <c r="I5" s="69"/>
      <c r="J5" s="69"/>
      <c r="K5" s="69"/>
      <c r="L5" s="69"/>
      <c r="M5" s="69"/>
      <c r="N5" s="69"/>
      <c r="O5" s="69"/>
      <c r="P5" s="69"/>
      <c r="Q5" s="69"/>
      <c r="R5" s="69"/>
      <c r="S5" s="69"/>
      <c r="T5" s="69"/>
    </row>
    <row r="6" spans="1:20">
      <c r="A6" s="79" t="s">
        <v>164</v>
      </c>
      <c r="B6" s="68" t="s">
        <v>1013</v>
      </c>
    </row>
    <row r="7" spans="1:20">
      <c r="B7" s="71"/>
      <c r="Q7" s="104" t="s">
        <v>139</v>
      </c>
    </row>
    <row r="8" spans="1:20" s="72" customFormat="1" ht="32.450000000000003" customHeight="1">
      <c r="A8" s="1083" t="s">
        <v>2</v>
      </c>
      <c r="B8" s="1585" t="s">
        <v>3</v>
      </c>
      <c r="C8" s="1584" t="s">
        <v>453</v>
      </c>
      <c r="D8" s="1584"/>
      <c r="E8" s="1584"/>
      <c r="F8" s="1584"/>
      <c r="G8" s="1584" t="s">
        <v>454</v>
      </c>
      <c r="H8" s="1584"/>
      <c r="I8" s="1584"/>
      <c r="J8" s="1584"/>
      <c r="K8" s="1584" t="s">
        <v>455</v>
      </c>
      <c r="L8" s="1584"/>
      <c r="M8" s="1584"/>
      <c r="N8" s="1584"/>
      <c r="O8" s="1584" t="s">
        <v>456</v>
      </c>
      <c r="P8" s="1584"/>
      <c r="Q8" s="1584"/>
      <c r="R8" s="1585"/>
      <c r="S8" s="1583" t="s">
        <v>162</v>
      </c>
    </row>
    <row r="9" spans="1:20" s="73" customFormat="1" ht="75" customHeight="1">
      <c r="A9" s="1083"/>
      <c r="B9" s="1586"/>
      <c r="C9" s="78" t="s">
        <v>159</v>
      </c>
      <c r="D9" s="118" t="s">
        <v>161</v>
      </c>
      <c r="E9" s="78" t="s">
        <v>138</v>
      </c>
      <c r="F9" s="118" t="s">
        <v>160</v>
      </c>
      <c r="G9" s="78" t="s">
        <v>248</v>
      </c>
      <c r="H9" s="118" t="s">
        <v>161</v>
      </c>
      <c r="I9" s="78" t="s">
        <v>138</v>
      </c>
      <c r="J9" s="118" t="s">
        <v>160</v>
      </c>
      <c r="K9" s="78" t="s">
        <v>248</v>
      </c>
      <c r="L9" s="118" t="s">
        <v>161</v>
      </c>
      <c r="M9" s="78" t="s">
        <v>138</v>
      </c>
      <c r="N9" s="118" t="s">
        <v>160</v>
      </c>
      <c r="O9" s="78" t="s">
        <v>248</v>
      </c>
      <c r="P9" s="118" t="s">
        <v>161</v>
      </c>
      <c r="Q9" s="78" t="s">
        <v>138</v>
      </c>
      <c r="R9" s="119" t="s">
        <v>160</v>
      </c>
      <c r="S9" s="1583"/>
    </row>
    <row r="10" spans="1:20" s="73" customFormat="1" ht="16.149999999999999" customHeight="1">
      <c r="A10" s="5">
        <v>1</v>
      </c>
      <c r="B10" s="77">
        <v>2</v>
      </c>
      <c r="C10" s="67">
        <v>3</v>
      </c>
      <c r="D10" s="67">
        <v>4</v>
      </c>
      <c r="E10" s="67">
        <v>5</v>
      </c>
      <c r="F10" s="67">
        <v>6</v>
      </c>
      <c r="G10" s="67">
        <v>7</v>
      </c>
      <c r="H10" s="67">
        <v>8</v>
      </c>
      <c r="I10" s="67">
        <v>9</v>
      </c>
      <c r="J10" s="67">
        <v>10</v>
      </c>
      <c r="K10" s="67">
        <v>11</v>
      </c>
      <c r="L10" s="67">
        <v>12</v>
      </c>
      <c r="M10" s="67">
        <v>13</v>
      </c>
      <c r="N10" s="67">
        <v>14</v>
      </c>
      <c r="O10" s="67">
        <v>15</v>
      </c>
      <c r="P10" s="67">
        <v>16</v>
      </c>
      <c r="Q10" s="67">
        <v>17</v>
      </c>
      <c r="R10" s="110">
        <v>18</v>
      </c>
      <c r="S10" s="117">
        <v>19</v>
      </c>
    </row>
    <row r="11" spans="1:20" s="73" customFormat="1" ht="16.149999999999999" customHeight="1">
      <c r="A11" s="5">
        <v>1</v>
      </c>
      <c r="B11" s="494" t="s">
        <v>1004</v>
      </c>
      <c r="C11" s="495">
        <v>11</v>
      </c>
      <c r="D11" s="495">
        <f>C11</f>
        <v>11</v>
      </c>
      <c r="E11" s="495">
        <f>20*0.102</f>
        <v>2.04</v>
      </c>
      <c r="F11" s="496">
        <f>E11*D11</f>
        <v>22.44</v>
      </c>
      <c r="G11" s="495">
        <v>6</v>
      </c>
      <c r="H11" s="495">
        <f>G11</f>
        <v>6</v>
      </c>
      <c r="I11" s="497">
        <f>24*0.102</f>
        <v>2.448</v>
      </c>
      <c r="J11" s="496">
        <f>I11*H11</f>
        <v>14.687999999999999</v>
      </c>
      <c r="K11" s="495">
        <v>11</v>
      </c>
      <c r="L11" s="495">
        <f>K11</f>
        <v>11</v>
      </c>
      <c r="M11" s="497">
        <f>28*0.102</f>
        <v>2.8559999999999999</v>
      </c>
      <c r="N11" s="496">
        <f>M11*L11</f>
        <v>31.415999999999997</v>
      </c>
      <c r="O11" s="495">
        <v>10</v>
      </c>
      <c r="P11" s="495">
        <f>O11</f>
        <v>10</v>
      </c>
      <c r="Q11" s="497">
        <f>32*0.102</f>
        <v>3.2639999999999998</v>
      </c>
      <c r="R11" s="496">
        <f>Q11*P11</f>
        <v>32.64</v>
      </c>
      <c r="S11" s="498">
        <f>F11+J11+N11+R11</f>
        <v>101.184</v>
      </c>
    </row>
    <row r="12" spans="1:20" s="73" customFormat="1" ht="16.149999999999999" customHeight="1">
      <c r="A12" s="5">
        <v>2</v>
      </c>
      <c r="B12" s="499" t="s">
        <v>873</v>
      </c>
      <c r="C12" s="495">
        <v>31</v>
      </c>
      <c r="D12" s="495">
        <f t="shared" ref="D12:D43" si="0">C12</f>
        <v>31</v>
      </c>
      <c r="E12" s="495">
        <f t="shared" ref="E12:E43" si="1">20*0.102</f>
        <v>2.04</v>
      </c>
      <c r="F12" s="496">
        <f t="shared" ref="F12:F43" si="2">E12*D12</f>
        <v>63.24</v>
      </c>
      <c r="G12" s="495">
        <v>22</v>
      </c>
      <c r="H12" s="495">
        <f t="shared" ref="H12:H43" si="3">G12</f>
        <v>22</v>
      </c>
      <c r="I12" s="497">
        <f t="shared" ref="I12:I43" si="4">24*0.102</f>
        <v>2.448</v>
      </c>
      <c r="J12" s="496">
        <f t="shared" ref="J12:J43" si="5">I12*H12</f>
        <v>53.856000000000002</v>
      </c>
      <c r="K12" s="495">
        <v>14</v>
      </c>
      <c r="L12" s="495">
        <f t="shared" ref="L12:L43" si="6">K12</f>
        <v>14</v>
      </c>
      <c r="M12" s="497">
        <f t="shared" ref="M12:M43" si="7">28*0.102</f>
        <v>2.8559999999999999</v>
      </c>
      <c r="N12" s="496">
        <f t="shared" ref="N12:N43" si="8">M12*L12</f>
        <v>39.983999999999995</v>
      </c>
      <c r="O12" s="495">
        <v>5</v>
      </c>
      <c r="P12" s="495">
        <f t="shared" ref="P12:P43" si="9">O12</f>
        <v>5</v>
      </c>
      <c r="Q12" s="497">
        <f t="shared" ref="Q12:Q43" si="10">32*0.102</f>
        <v>3.2639999999999998</v>
      </c>
      <c r="R12" s="496">
        <f t="shared" ref="R12:R43" si="11">Q12*P12</f>
        <v>16.32</v>
      </c>
      <c r="S12" s="498">
        <f t="shared" ref="S12:S44" si="12">F12+J12+N12+R12</f>
        <v>173.39999999999998</v>
      </c>
    </row>
    <row r="13" spans="1:20" s="73" customFormat="1" ht="16.149999999999999" customHeight="1">
      <c r="A13" s="5">
        <v>3</v>
      </c>
      <c r="B13" s="499" t="s">
        <v>874</v>
      </c>
      <c r="C13" s="495">
        <v>13</v>
      </c>
      <c r="D13" s="495">
        <f t="shared" si="0"/>
        <v>13</v>
      </c>
      <c r="E13" s="495">
        <f t="shared" si="1"/>
        <v>2.04</v>
      </c>
      <c r="F13" s="496">
        <f t="shared" si="2"/>
        <v>26.52</v>
      </c>
      <c r="G13" s="495">
        <v>49</v>
      </c>
      <c r="H13" s="495">
        <f t="shared" si="3"/>
        <v>49</v>
      </c>
      <c r="I13" s="497">
        <f t="shared" si="4"/>
        <v>2.448</v>
      </c>
      <c r="J13" s="496">
        <f t="shared" si="5"/>
        <v>119.952</v>
      </c>
      <c r="K13" s="495">
        <v>63</v>
      </c>
      <c r="L13" s="495">
        <f t="shared" si="6"/>
        <v>63</v>
      </c>
      <c r="M13" s="497">
        <f t="shared" si="7"/>
        <v>2.8559999999999999</v>
      </c>
      <c r="N13" s="496">
        <f t="shared" si="8"/>
        <v>179.928</v>
      </c>
      <c r="O13" s="495">
        <v>21</v>
      </c>
      <c r="P13" s="495">
        <f t="shared" si="9"/>
        <v>21</v>
      </c>
      <c r="Q13" s="497">
        <f t="shared" si="10"/>
        <v>3.2639999999999998</v>
      </c>
      <c r="R13" s="496">
        <f t="shared" si="11"/>
        <v>68.543999999999997</v>
      </c>
      <c r="S13" s="498">
        <f t="shared" si="12"/>
        <v>394.94399999999996</v>
      </c>
    </row>
    <row r="14" spans="1:20" s="73" customFormat="1" ht="16.149999999999999" customHeight="1">
      <c r="A14" s="5">
        <v>4</v>
      </c>
      <c r="B14" s="499" t="s">
        <v>875</v>
      </c>
      <c r="C14" s="495">
        <v>8</v>
      </c>
      <c r="D14" s="495">
        <f t="shared" si="0"/>
        <v>8</v>
      </c>
      <c r="E14" s="495">
        <f t="shared" si="1"/>
        <v>2.04</v>
      </c>
      <c r="F14" s="496">
        <f t="shared" si="2"/>
        <v>16.32</v>
      </c>
      <c r="G14" s="495">
        <v>165</v>
      </c>
      <c r="H14" s="495">
        <f t="shared" si="3"/>
        <v>165</v>
      </c>
      <c r="I14" s="497">
        <f t="shared" si="4"/>
        <v>2.448</v>
      </c>
      <c r="J14" s="496">
        <f t="shared" si="5"/>
        <v>403.92</v>
      </c>
      <c r="K14" s="495">
        <v>49</v>
      </c>
      <c r="L14" s="495">
        <f t="shared" si="6"/>
        <v>49</v>
      </c>
      <c r="M14" s="497">
        <f t="shared" si="7"/>
        <v>2.8559999999999999</v>
      </c>
      <c r="N14" s="496">
        <f t="shared" si="8"/>
        <v>139.94399999999999</v>
      </c>
      <c r="O14" s="495">
        <v>10</v>
      </c>
      <c r="P14" s="495">
        <f t="shared" si="9"/>
        <v>10</v>
      </c>
      <c r="Q14" s="497">
        <f t="shared" si="10"/>
        <v>3.2639999999999998</v>
      </c>
      <c r="R14" s="496">
        <f t="shared" si="11"/>
        <v>32.64</v>
      </c>
      <c r="S14" s="498">
        <f t="shared" si="12"/>
        <v>592.82399999999996</v>
      </c>
    </row>
    <row r="15" spans="1:20" s="73" customFormat="1" ht="16.149999999999999" customHeight="1">
      <c r="A15" s="5">
        <v>5</v>
      </c>
      <c r="B15" s="499" t="s">
        <v>1005</v>
      </c>
      <c r="C15" s="495">
        <v>75</v>
      </c>
      <c r="D15" s="495">
        <f t="shared" si="0"/>
        <v>75</v>
      </c>
      <c r="E15" s="495">
        <f t="shared" si="1"/>
        <v>2.04</v>
      </c>
      <c r="F15" s="496">
        <f t="shared" si="2"/>
        <v>153</v>
      </c>
      <c r="G15" s="495">
        <v>49</v>
      </c>
      <c r="H15" s="495">
        <f t="shared" si="3"/>
        <v>49</v>
      </c>
      <c r="I15" s="497">
        <f t="shared" si="4"/>
        <v>2.448</v>
      </c>
      <c r="J15" s="496">
        <f t="shared" si="5"/>
        <v>119.952</v>
      </c>
      <c r="K15" s="495">
        <v>50</v>
      </c>
      <c r="L15" s="495">
        <f t="shared" si="6"/>
        <v>50</v>
      </c>
      <c r="M15" s="497">
        <f t="shared" si="7"/>
        <v>2.8559999999999999</v>
      </c>
      <c r="N15" s="496">
        <f t="shared" si="8"/>
        <v>142.79999999999998</v>
      </c>
      <c r="O15" s="495">
        <v>54</v>
      </c>
      <c r="P15" s="495">
        <f t="shared" si="9"/>
        <v>54</v>
      </c>
      <c r="Q15" s="497">
        <f t="shared" si="10"/>
        <v>3.2639999999999998</v>
      </c>
      <c r="R15" s="496">
        <f t="shared" si="11"/>
        <v>176.256</v>
      </c>
      <c r="S15" s="498">
        <f t="shared" si="12"/>
        <v>592.00799999999992</v>
      </c>
    </row>
    <row r="16" spans="1:20" s="73" customFormat="1" ht="16.149999999999999" customHeight="1">
      <c r="A16" s="5">
        <v>6</v>
      </c>
      <c r="B16" s="499" t="s">
        <v>877</v>
      </c>
      <c r="C16" s="495">
        <v>6</v>
      </c>
      <c r="D16" s="495">
        <f t="shared" si="0"/>
        <v>6</v>
      </c>
      <c r="E16" s="495">
        <f t="shared" si="1"/>
        <v>2.04</v>
      </c>
      <c r="F16" s="496">
        <f t="shared" si="2"/>
        <v>12.24</v>
      </c>
      <c r="G16" s="495">
        <v>29</v>
      </c>
      <c r="H16" s="495">
        <f t="shared" si="3"/>
        <v>29</v>
      </c>
      <c r="I16" s="497">
        <f t="shared" si="4"/>
        <v>2.448</v>
      </c>
      <c r="J16" s="496">
        <f t="shared" si="5"/>
        <v>70.992000000000004</v>
      </c>
      <c r="K16" s="495">
        <v>12</v>
      </c>
      <c r="L16" s="495">
        <f t="shared" si="6"/>
        <v>12</v>
      </c>
      <c r="M16" s="497">
        <f t="shared" si="7"/>
        <v>2.8559999999999999</v>
      </c>
      <c r="N16" s="496">
        <f t="shared" si="8"/>
        <v>34.271999999999998</v>
      </c>
      <c r="O16" s="495">
        <v>2</v>
      </c>
      <c r="P16" s="495">
        <f t="shared" si="9"/>
        <v>2</v>
      </c>
      <c r="Q16" s="497">
        <f t="shared" si="10"/>
        <v>3.2639999999999998</v>
      </c>
      <c r="R16" s="496">
        <f t="shared" si="11"/>
        <v>6.5279999999999996</v>
      </c>
      <c r="S16" s="498">
        <f t="shared" si="12"/>
        <v>124.032</v>
      </c>
    </row>
    <row r="17" spans="1:19" s="73" customFormat="1" ht="16.149999999999999" customHeight="1">
      <c r="A17" s="5">
        <v>7</v>
      </c>
      <c r="B17" s="499" t="s">
        <v>1006</v>
      </c>
      <c r="C17" s="495">
        <v>53</v>
      </c>
      <c r="D17" s="495">
        <f t="shared" si="0"/>
        <v>53</v>
      </c>
      <c r="E17" s="495">
        <f t="shared" si="1"/>
        <v>2.04</v>
      </c>
      <c r="F17" s="496">
        <f t="shared" si="2"/>
        <v>108.12</v>
      </c>
      <c r="G17" s="495">
        <v>40</v>
      </c>
      <c r="H17" s="495">
        <f t="shared" si="3"/>
        <v>40</v>
      </c>
      <c r="I17" s="497">
        <f t="shared" si="4"/>
        <v>2.448</v>
      </c>
      <c r="J17" s="496">
        <f t="shared" si="5"/>
        <v>97.92</v>
      </c>
      <c r="K17" s="495">
        <v>47</v>
      </c>
      <c r="L17" s="495">
        <f t="shared" si="6"/>
        <v>47</v>
      </c>
      <c r="M17" s="497">
        <f t="shared" si="7"/>
        <v>2.8559999999999999</v>
      </c>
      <c r="N17" s="496">
        <f t="shared" si="8"/>
        <v>134.232</v>
      </c>
      <c r="O17" s="495">
        <v>31</v>
      </c>
      <c r="P17" s="495">
        <f t="shared" si="9"/>
        <v>31</v>
      </c>
      <c r="Q17" s="497">
        <f t="shared" si="10"/>
        <v>3.2639999999999998</v>
      </c>
      <c r="R17" s="496">
        <f t="shared" si="11"/>
        <v>101.184</v>
      </c>
      <c r="S17" s="498">
        <f t="shared" si="12"/>
        <v>441.45600000000002</v>
      </c>
    </row>
    <row r="18" spans="1:19" s="73" customFormat="1" ht="16.149999999999999" customHeight="1">
      <c r="A18" s="5">
        <v>8</v>
      </c>
      <c r="B18" s="499" t="s">
        <v>879</v>
      </c>
      <c r="C18" s="495">
        <v>22</v>
      </c>
      <c r="D18" s="495">
        <f t="shared" si="0"/>
        <v>22</v>
      </c>
      <c r="E18" s="495">
        <f t="shared" si="1"/>
        <v>2.04</v>
      </c>
      <c r="F18" s="496">
        <f t="shared" si="2"/>
        <v>44.88</v>
      </c>
      <c r="G18" s="495">
        <v>24</v>
      </c>
      <c r="H18" s="495">
        <f t="shared" si="3"/>
        <v>24</v>
      </c>
      <c r="I18" s="497">
        <f t="shared" si="4"/>
        <v>2.448</v>
      </c>
      <c r="J18" s="496">
        <f t="shared" si="5"/>
        <v>58.751999999999995</v>
      </c>
      <c r="K18" s="495">
        <v>18</v>
      </c>
      <c r="L18" s="495">
        <f t="shared" si="6"/>
        <v>18</v>
      </c>
      <c r="M18" s="497">
        <f t="shared" si="7"/>
        <v>2.8559999999999999</v>
      </c>
      <c r="N18" s="496">
        <f t="shared" si="8"/>
        <v>51.408000000000001</v>
      </c>
      <c r="O18" s="495">
        <v>8</v>
      </c>
      <c r="P18" s="495">
        <f t="shared" si="9"/>
        <v>8</v>
      </c>
      <c r="Q18" s="497">
        <f t="shared" si="10"/>
        <v>3.2639999999999998</v>
      </c>
      <c r="R18" s="496">
        <f t="shared" si="11"/>
        <v>26.111999999999998</v>
      </c>
      <c r="S18" s="498">
        <f t="shared" si="12"/>
        <v>181.15200000000002</v>
      </c>
    </row>
    <row r="19" spans="1:19" s="73" customFormat="1" ht="16.149999999999999" customHeight="1">
      <c r="A19" s="5">
        <v>9</v>
      </c>
      <c r="B19" s="499" t="s">
        <v>1007</v>
      </c>
      <c r="C19" s="495">
        <v>201</v>
      </c>
      <c r="D19" s="495">
        <f t="shared" si="0"/>
        <v>201</v>
      </c>
      <c r="E19" s="495">
        <f t="shared" si="1"/>
        <v>2.04</v>
      </c>
      <c r="F19" s="496">
        <f t="shared" si="2"/>
        <v>410.04</v>
      </c>
      <c r="G19" s="495">
        <v>14</v>
      </c>
      <c r="H19" s="495">
        <f t="shared" si="3"/>
        <v>14</v>
      </c>
      <c r="I19" s="497">
        <f t="shared" si="4"/>
        <v>2.448</v>
      </c>
      <c r="J19" s="496">
        <f t="shared" si="5"/>
        <v>34.271999999999998</v>
      </c>
      <c r="K19" s="495">
        <v>6</v>
      </c>
      <c r="L19" s="495">
        <f t="shared" si="6"/>
        <v>6</v>
      </c>
      <c r="M19" s="497">
        <f t="shared" si="7"/>
        <v>2.8559999999999999</v>
      </c>
      <c r="N19" s="496">
        <f t="shared" si="8"/>
        <v>17.135999999999999</v>
      </c>
      <c r="O19" s="495">
        <v>3</v>
      </c>
      <c r="P19" s="495">
        <f t="shared" si="9"/>
        <v>3</v>
      </c>
      <c r="Q19" s="497">
        <f t="shared" si="10"/>
        <v>3.2639999999999998</v>
      </c>
      <c r="R19" s="496">
        <f t="shared" si="11"/>
        <v>9.7919999999999998</v>
      </c>
      <c r="S19" s="498">
        <f t="shared" si="12"/>
        <v>471.24</v>
      </c>
    </row>
    <row r="20" spans="1:19" s="73" customFormat="1" ht="16.149999999999999" customHeight="1">
      <c r="A20" s="5">
        <v>10</v>
      </c>
      <c r="B20" s="499" t="s">
        <v>1008</v>
      </c>
      <c r="C20" s="495">
        <v>38</v>
      </c>
      <c r="D20" s="495">
        <f t="shared" si="0"/>
        <v>38</v>
      </c>
      <c r="E20" s="495">
        <f t="shared" si="1"/>
        <v>2.04</v>
      </c>
      <c r="F20" s="496">
        <f t="shared" si="2"/>
        <v>77.52</v>
      </c>
      <c r="G20" s="495">
        <v>47</v>
      </c>
      <c r="H20" s="495">
        <f t="shared" si="3"/>
        <v>47</v>
      </c>
      <c r="I20" s="497">
        <f t="shared" si="4"/>
        <v>2.448</v>
      </c>
      <c r="J20" s="496">
        <f t="shared" si="5"/>
        <v>115.056</v>
      </c>
      <c r="K20" s="495">
        <v>46</v>
      </c>
      <c r="L20" s="495">
        <f t="shared" si="6"/>
        <v>46</v>
      </c>
      <c r="M20" s="497">
        <f t="shared" si="7"/>
        <v>2.8559999999999999</v>
      </c>
      <c r="N20" s="496">
        <f t="shared" si="8"/>
        <v>131.376</v>
      </c>
      <c r="O20" s="495">
        <v>27</v>
      </c>
      <c r="P20" s="495">
        <f t="shared" si="9"/>
        <v>27</v>
      </c>
      <c r="Q20" s="497">
        <f t="shared" si="10"/>
        <v>3.2639999999999998</v>
      </c>
      <c r="R20" s="496">
        <f t="shared" si="11"/>
        <v>88.128</v>
      </c>
      <c r="S20" s="498">
        <f t="shared" si="12"/>
        <v>412.08</v>
      </c>
    </row>
    <row r="21" spans="1:19" s="73" customFormat="1" ht="16.149999999999999" customHeight="1">
      <c r="A21" s="5">
        <v>11</v>
      </c>
      <c r="B21" s="499" t="s">
        <v>881</v>
      </c>
      <c r="C21" s="495">
        <v>12</v>
      </c>
      <c r="D21" s="495">
        <f t="shared" si="0"/>
        <v>12</v>
      </c>
      <c r="E21" s="495">
        <f t="shared" si="1"/>
        <v>2.04</v>
      </c>
      <c r="F21" s="496">
        <f t="shared" si="2"/>
        <v>24.48</v>
      </c>
      <c r="G21" s="495">
        <v>3</v>
      </c>
      <c r="H21" s="495">
        <f t="shared" si="3"/>
        <v>3</v>
      </c>
      <c r="I21" s="497">
        <f t="shared" si="4"/>
        <v>2.448</v>
      </c>
      <c r="J21" s="496">
        <f t="shared" si="5"/>
        <v>7.3439999999999994</v>
      </c>
      <c r="K21" s="495">
        <v>1</v>
      </c>
      <c r="L21" s="495">
        <f t="shared" si="6"/>
        <v>1</v>
      </c>
      <c r="M21" s="497">
        <f t="shared" si="7"/>
        <v>2.8559999999999999</v>
      </c>
      <c r="N21" s="496">
        <f t="shared" si="8"/>
        <v>2.8559999999999999</v>
      </c>
      <c r="O21" s="495"/>
      <c r="P21" s="495">
        <f t="shared" si="9"/>
        <v>0</v>
      </c>
      <c r="Q21" s="497">
        <f t="shared" si="10"/>
        <v>3.2639999999999998</v>
      </c>
      <c r="R21" s="496">
        <f t="shared" si="11"/>
        <v>0</v>
      </c>
      <c r="S21" s="498">
        <f t="shared" si="12"/>
        <v>34.68</v>
      </c>
    </row>
    <row r="22" spans="1:19" s="73" customFormat="1" ht="16.149999999999999" customHeight="1">
      <c r="A22" s="5">
        <v>12</v>
      </c>
      <c r="B22" s="499" t="s">
        <v>882</v>
      </c>
      <c r="C22" s="495">
        <v>5</v>
      </c>
      <c r="D22" s="495">
        <f t="shared" si="0"/>
        <v>5</v>
      </c>
      <c r="E22" s="495">
        <f t="shared" si="1"/>
        <v>2.04</v>
      </c>
      <c r="F22" s="496">
        <f t="shared" si="2"/>
        <v>10.199999999999999</v>
      </c>
      <c r="G22" s="495">
        <v>4</v>
      </c>
      <c r="H22" s="495">
        <f t="shared" si="3"/>
        <v>4</v>
      </c>
      <c r="I22" s="497">
        <f t="shared" si="4"/>
        <v>2.448</v>
      </c>
      <c r="J22" s="496">
        <f t="shared" si="5"/>
        <v>9.7919999999999998</v>
      </c>
      <c r="K22" s="495">
        <v>7</v>
      </c>
      <c r="L22" s="495">
        <f t="shared" si="6"/>
        <v>7</v>
      </c>
      <c r="M22" s="497">
        <f t="shared" si="7"/>
        <v>2.8559999999999999</v>
      </c>
      <c r="N22" s="496">
        <f t="shared" si="8"/>
        <v>19.991999999999997</v>
      </c>
      <c r="O22" s="495"/>
      <c r="P22" s="495">
        <f t="shared" si="9"/>
        <v>0</v>
      </c>
      <c r="Q22" s="497">
        <f t="shared" si="10"/>
        <v>3.2639999999999998</v>
      </c>
      <c r="R22" s="496">
        <f t="shared" si="11"/>
        <v>0</v>
      </c>
      <c r="S22" s="498">
        <f t="shared" si="12"/>
        <v>39.983999999999995</v>
      </c>
    </row>
    <row r="23" spans="1:19" s="73" customFormat="1" ht="16.149999999999999" customHeight="1">
      <c r="A23" s="5">
        <v>13</v>
      </c>
      <c r="B23" s="499" t="s">
        <v>884</v>
      </c>
      <c r="C23" s="495">
        <v>16</v>
      </c>
      <c r="D23" s="495">
        <f t="shared" si="0"/>
        <v>16</v>
      </c>
      <c r="E23" s="495">
        <f t="shared" si="1"/>
        <v>2.04</v>
      </c>
      <c r="F23" s="496">
        <f t="shared" si="2"/>
        <v>32.64</v>
      </c>
      <c r="G23" s="495">
        <v>20</v>
      </c>
      <c r="H23" s="495">
        <f t="shared" si="3"/>
        <v>20</v>
      </c>
      <c r="I23" s="497">
        <f t="shared" si="4"/>
        <v>2.448</v>
      </c>
      <c r="J23" s="496">
        <f t="shared" si="5"/>
        <v>48.96</v>
      </c>
      <c r="K23" s="495">
        <v>5</v>
      </c>
      <c r="L23" s="495">
        <f t="shared" si="6"/>
        <v>5</v>
      </c>
      <c r="M23" s="497">
        <f t="shared" si="7"/>
        <v>2.8559999999999999</v>
      </c>
      <c r="N23" s="496">
        <f t="shared" si="8"/>
        <v>14.28</v>
      </c>
      <c r="O23" s="495">
        <v>3</v>
      </c>
      <c r="P23" s="495">
        <f t="shared" si="9"/>
        <v>3</v>
      </c>
      <c r="Q23" s="497">
        <f t="shared" si="10"/>
        <v>3.2639999999999998</v>
      </c>
      <c r="R23" s="496">
        <f t="shared" si="11"/>
        <v>9.7919999999999998</v>
      </c>
      <c r="S23" s="498">
        <f t="shared" si="12"/>
        <v>105.672</v>
      </c>
    </row>
    <row r="24" spans="1:19" s="73" customFormat="1" ht="16.149999999999999" customHeight="1">
      <c r="A24" s="5">
        <v>14</v>
      </c>
      <c r="B24" s="499" t="s">
        <v>885</v>
      </c>
      <c r="C24" s="495">
        <v>29</v>
      </c>
      <c r="D24" s="495">
        <f t="shared" si="0"/>
        <v>29</v>
      </c>
      <c r="E24" s="495">
        <f t="shared" si="1"/>
        <v>2.04</v>
      </c>
      <c r="F24" s="496">
        <f t="shared" si="2"/>
        <v>59.160000000000004</v>
      </c>
      <c r="G24" s="495">
        <v>60</v>
      </c>
      <c r="H24" s="495">
        <f t="shared" si="3"/>
        <v>60</v>
      </c>
      <c r="I24" s="497">
        <f t="shared" si="4"/>
        <v>2.448</v>
      </c>
      <c r="J24" s="496">
        <f t="shared" si="5"/>
        <v>146.88</v>
      </c>
      <c r="K24" s="495">
        <v>42</v>
      </c>
      <c r="L24" s="495">
        <f t="shared" si="6"/>
        <v>42</v>
      </c>
      <c r="M24" s="497">
        <f t="shared" si="7"/>
        <v>2.8559999999999999</v>
      </c>
      <c r="N24" s="496">
        <f t="shared" si="8"/>
        <v>119.952</v>
      </c>
      <c r="O24" s="495">
        <v>12</v>
      </c>
      <c r="P24" s="495">
        <f t="shared" si="9"/>
        <v>12</v>
      </c>
      <c r="Q24" s="497">
        <f t="shared" si="10"/>
        <v>3.2639999999999998</v>
      </c>
      <c r="R24" s="496">
        <f t="shared" si="11"/>
        <v>39.167999999999999</v>
      </c>
      <c r="S24" s="498">
        <f t="shared" si="12"/>
        <v>365.15999999999997</v>
      </c>
    </row>
    <row r="25" spans="1:19" s="73" customFormat="1" ht="16.149999999999999" customHeight="1">
      <c r="A25" s="5">
        <v>15</v>
      </c>
      <c r="B25" s="499" t="s">
        <v>886</v>
      </c>
      <c r="C25" s="495">
        <v>16</v>
      </c>
      <c r="D25" s="495">
        <f t="shared" si="0"/>
        <v>16</v>
      </c>
      <c r="E25" s="495">
        <f t="shared" si="1"/>
        <v>2.04</v>
      </c>
      <c r="F25" s="496">
        <f t="shared" si="2"/>
        <v>32.64</v>
      </c>
      <c r="G25" s="495">
        <v>13</v>
      </c>
      <c r="H25" s="495">
        <f t="shared" si="3"/>
        <v>13</v>
      </c>
      <c r="I25" s="497">
        <f t="shared" si="4"/>
        <v>2.448</v>
      </c>
      <c r="J25" s="496">
        <f t="shared" si="5"/>
        <v>31.823999999999998</v>
      </c>
      <c r="K25" s="495">
        <v>1</v>
      </c>
      <c r="L25" s="495">
        <f t="shared" si="6"/>
        <v>1</v>
      </c>
      <c r="M25" s="497">
        <f t="shared" si="7"/>
        <v>2.8559999999999999</v>
      </c>
      <c r="N25" s="496">
        <f t="shared" si="8"/>
        <v>2.8559999999999999</v>
      </c>
      <c r="O25" s="495"/>
      <c r="P25" s="495">
        <f t="shared" si="9"/>
        <v>0</v>
      </c>
      <c r="Q25" s="497">
        <f t="shared" si="10"/>
        <v>3.2639999999999998</v>
      </c>
      <c r="R25" s="496">
        <f t="shared" si="11"/>
        <v>0</v>
      </c>
      <c r="S25" s="498">
        <f t="shared" si="12"/>
        <v>67.319999999999993</v>
      </c>
    </row>
    <row r="26" spans="1:19" s="73" customFormat="1" ht="16.149999999999999" customHeight="1">
      <c r="A26" s="5">
        <v>16</v>
      </c>
      <c r="B26" s="499" t="s">
        <v>887</v>
      </c>
      <c r="C26" s="495">
        <v>19</v>
      </c>
      <c r="D26" s="495">
        <f t="shared" si="0"/>
        <v>19</v>
      </c>
      <c r="E26" s="495">
        <f t="shared" si="1"/>
        <v>2.04</v>
      </c>
      <c r="F26" s="496">
        <f t="shared" si="2"/>
        <v>38.76</v>
      </c>
      <c r="G26" s="495">
        <v>38</v>
      </c>
      <c r="H26" s="495">
        <f t="shared" si="3"/>
        <v>38</v>
      </c>
      <c r="I26" s="497">
        <f t="shared" si="4"/>
        <v>2.448</v>
      </c>
      <c r="J26" s="496">
        <f t="shared" si="5"/>
        <v>93.024000000000001</v>
      </c>
      <c r="K26" s="495">
        <v>17</v>
      </c>
      <c r="L26" s="495">
        <f t="shared" si="6"/>
        <v>17</v>
      </c>
      <c r="M26" s="497">
        <f t="shared" si="7"/>
        <v>2.8559999999999999</v>
      </c>
      <c r="N26" s="496">
        <f t="shared" si="8"/>
        <v>48.552</v>
      </c>
      <c r="O26" s="495">
        <v>2</v>
      </c>
      <c r="P26" s="495">
        <f t="shared" si="9"/>
        <v>2</v>
      </c>
      <c r="Q26" s="497">
        <f t="shared" si="10"/>
        <v>3.2639999999999998</v>
      </c>
      <c r="R26" s="496">
        <f t="shared" si="11"/>
        <v>6.5279999999999996</v>
      </c>
      <c r="S26" s="498">
        <f t="shared" si="12"/>
        <v>186.86399999999998</v>
      </c>
    </row>
    <row r="27" spans="1:19" s="73" customFormat="1" ht="16.149999999999999" customHeight="1">
      <c r="A27" s="5">
        <v>17</v>
      </c>
      <c r="B27" s="499" t="s">
        <v>889</v>
      </c>
      <c r="C27" s="495">
        <v>6</v>
      </c>
      <c r="D27" s="495">
        <f t="shared" si="0"/>
        <v>6</v>
      </c>
      <c r="E27" s="495">
        <f t="shared" si="1"/>
        <v>2.04</v>
      </c>
      <c r="F27" s="496">
        <f t="shared" si="2"/>
        <v>12.24</v>
      </c>
      <c r="G27" s="495">
        <v>17</v>
      </c>
      <c r="H27" s="495">
        <f t="shared" si="3"/>
        <v>17</v>
      </c>
      <c r="I27" s="497">
        <f t="shared" si="4"/>
        <v>2.448</v>
      </c>
      <c r="J27" s="496">
        <f t="shared" si="5"/>
        <v>41.616</v>
      </c>
      <c r="K27" s="495">
        <v>65</v>
      </c>
      <c r="L27" s="495">
        <f t="shared" si="6"/>
        <v>65</v>
      </c>
      <c r="M27" s="497">
        <f t="shared" si="7"/>
        <v>2.8559999999999999</v>
      </c>
      <c r="N27" s="496">
        <f t="shared" si="8"/>
        <v>185.64</v>
      </c>
      <c r="O27" s="495">
        <v>30</v>
      </c>
      <c r="P27" s="495">
        <f t="shared" si="9"/>
        <v>30</v>
      </c>
      <c r="Q27" s="497">
        <f t="shared" si="10"/>
        <v>3.2639999999999998</v>
      </c>
      <c r="R27" s="496">
        <f t="shared" si="11"/>
        <v>97.919999999999987</v>
      </c>
      <c r="S27" s="498">
        <f t="shared" si="12"/>
        <v>337.41599999999994</v>
      </c>
    </row>
    <row r="28" spans="1:19" s="73" customFormat="1" ht="16.149999999999999" customHeight="1">
      <c r="A28" s="5">
        <v>18</v>
      </c>
      <c r="B28" s="499" t="s">
        <v>1009</v>
      </c>
      <c r="C28" s="495">
        <v>245</v>
      </c>
      <c r="D28" s="495">
        <f t="shared" si="0"/>
        <v>245</v>
      </c>
      <c r="E28" s="495">
        <f t="shared" si="1"/>
        <v>2.04</v>
      </c>
      <c r="F28" s="496">
        <f t="shared" si="2"/>
        <v>499.8</v>
      </c>
      <c r="G28" s="495">
        <v>130</v>
      </c>
      <c r="H28" s="495">
        <f t="shared" si="3"/>
        <v>130</v>
      </c>
      <c r="I28" s="497">
        <f t="shared" si="4"/>
        <v>2.448</v>
      </c>
      <c r="J28" s="496">
        <f t="shared" si="5"/>
        <v>318.24</v>
      </c>
      <c r="K28" s="495">
        <v>84</v>
      </c>
      <c r="L28" s="495">
        <f t="shared" si="6"/>
        <v>84</v>
      </c>
      <c r="M28" s="497">
        <f t="shared" si="7"/>
        <v>2.8559999999999999</v>
      </c>
      <c r="N28" s="496">
        <f t="shared" si="8"/>
        <v>239.904</v>
      </c>
      <c r="O28" s="495">
        <v>37</v>
      </c>
      <c r="P28" s="495">
        <f t="shared" si="9"/>
        <v>37</v>
      </c>
      <c r="Q28" s="497">
        <f t="shared" si="10"/>
        <v>3.2639999999999998</v>
      </c>
      <c r="R28" s="496">
        <f t="shared" si="11"/>
        <v>120.76799999999999</v>
      </c>
      <c r="S28" s="498">
        <f t="shared" si="12"/>
        <v>1178.712</v>
      </c>
    </row>
    <row r="29" spans="1:19" s="73" customFormat="1" ht="16.149999999999999" customHeight="1">
      <c r="A29" s="5">
        <v>19</v>
      </c>
      <c r="B29" s="499" t="s">
        <v>891</v>
      </c>
      <c r="C29" s="495">
        <v>40</v>
      </c>
      <c r="D29" s="495">
        <f t="shared" si="0"/>
        <v>40</v>
      </c>
      <c r="E29" s="495">
        <f t="shared" si="1"/>
        <v>2.04</v>
      </c>
      <c r="F29" s="496">
        <f t="shared" si="2"/>
        <v>81.599999999999994</v>
      </c>
      <c r="G29" s="495">
        <v>13</v>
      </c>
      <c r="H29" s="495">
        <f t="shared" si="3"/>
        <v>13</v>
      </c>
      <c r="I29" s="497">
        <f t="shared" si="4"/>
        <v>2.448</v>
      </c>
      <c r="J29" s="496">
        <f t="shared" si="5"/>
        <v>31.823999999999998</v>
      </c>
      <c r="K29" s="495">
        <v>7</v>
      </c>
      <c r="L29" s="495">
        <f t="shared" si="6"/>
        <v>7</v>
      </c>
      <c r="M29" s="497">
        <f t="shared" si="7"/>
        <v>2.8559999999999999</v>
      </c>
      <c r="N29" s="496">
        <f t="shared" si="8"/>
        <v>19.991999999999997</v>
      </c>
      <c r="O29" s="495">
        <v>1</v>
      </c>
      <c r="P29" s="495">
        <f t="shared" si="9"/>
        <v>1</v>
      </c>
      <c r="Q29" s="497">
        <f t="shared" si="10"/>
        <v>3.2639999999999998</v>
      </c>
      <c r="R29" s="496">
        <f t="shared" si="11"/>
        <v>3.2639999999999998</v>
      </c>
      <c r="S29" s="498">
        <f t="shared" si="12"/>
        <v>136.68</v>
      </c>
    </row>
    <row r="30" spans="1:19" s="73" customFormat="1" ht="16.149999999999999" customHeight="1">
      <c r="A30" s="5">
        <v>20</v>
      </c>
      <c r="B30" s="499" t="s">
        <v>1010</v>
      </c>
      <c r="C30" s="495">
        <v>4</v>
      </c>
      <c r="D30" s="495">
        <f t="shared" si="0"/>
        <v>4</v>
      </c>
      <c r="E30" s="495">
        <f t="shared" si="1"/>
        <v>2.04</v>
      </c>
      <c r="F30" s="496">
        <f t="shared" si="2"/>
        <v>8.16</v>
      </c>
      <c r="G30" s="495">
        <v>3</v>
      </c>
      <c r="H30" s="495">
        <f t="shared" si="3"/>
        <v>3</v>
      </c>
      <c r="I30" s="497">
        <f t="shared" si="4"/>
        <v>2.448</v>
      </c>
      <c r="J30" s="496">
        <f t="shared" si="5"/>
        <v>7.3439999999999994</v>
      </c>
      <c r="K30" s="495">
        <v>3</v>
      </c>
      <c r="L30" s="495">
        <f t="shared" si="6"/>
        <v>3</v>
      </c>
      <c r="M30" s="497">
        <f t="shared" si="7"/>
        <v>2.8559999999999999</v>
      </c>
      <c r="N30" s="496">
        <f t="shared" si="8"/>
        <v>8.5679999999999996</v>
      </c>
      <c r="O30" s="495">
        <v>4</v>
      </c>
      <c r="P30" s="495">
        <f t="shared" si="9"/>
        <v>4</v>
      </c>
      <c r="Q30" s="497">
        <f t="shared" si="10"/>
        <v>3.2639999999999998</v>
      </c>
      <c r="R30" s="496">
        <f t="shared" si="11"/>
        <v>13.055999999999999</v>
      </c>
      <c r="S30" s="498">
        <f t="shared" si="12"/>
        <v>37.128</v>
      </c>
    </row>
    <row r="31" spans="1:19" s="73" customFormat="1" ht="16.149999999999999" customHeight="1">
      <c r="A31" s="5">
        <v>21</v>
      </c>
      <c r="B31" s="499" t="s">
        <v>892</v>
      </c>
      <c r="C31" s="495">
        <v>126</v>
      </c>
      <c r="D31" s="495">
        <f t="shared" si="0"/>
        <v>126</v>
      </c>
      <c r="E31" s="495">
        <f t="shared" si="1"/>
        <v>2.04</v>
      </c>
      <c r="F31" s="496">
        <f t="shared" si="2"/>
        <v>257.04000000000002</v>
      </c>
      <c r="G31" s="495">
        <v>129</v>
      </c>
      <c r="H31" s="495">
        <f t="shared" si="3"/>
        <v>129</v>
      </c>
      <c r="I31" s="497">
        <f t="shared" si="4"/>
        <v>2.448</v>
      </c>
      <c r="J31" s="496">
        <f t="shared" si="5"/>
        <v>315.79199999999997</v>
      </c>
      <c r="K31" s="495">
        <v>60</v>
      </c>
      <c r="L31" s="495">
        <f t="shared" si="6"/>
        <v>60</v>
      </c>
      <c r="M31" s="497">
        <f t="shared" si="7"/>
        <v>2.8559999999999999</v>
      </c>
      <c r="N31" s="496">
        <f t="shared" si="8"/>
        <v>171.35999999999999</v>
      </c>
      <c r="O31" s="495">
        <v>26</v>
      </c>
      <c r="P31" s="495">
        <f t="shared" si="9"/>
        <v>26</v>
      </c>
      <c r="Q31" s="497">
        <f t="shared" si="10"/>
        <v>3.2639999999999998</v>
      </c>
      <c r="R31" s="496">
        <f t="shared" si="11"/>
        <v>84.86399999999999</v>
      </c>
      <c r="S31" s="498">
        <f t="shared" si="12"/>
        <v>829.05600000000004</v>
      </c>
    </row>
    <row r="32" spans="1:19" s="73" customFormat="1" ht="16.149999999999999" customHeight="1">
      <c r="A32" s="5">
        <v>22</v>
      </c>
      <c r="B32" s="499" t="s">
        <v>893</v>
      </c>
      <c r="C32" s="495">
        <v>23</v>
      </c>
      <c r="D32" s="495">
        <f t="shared" si="0"/>
        <v>23</v>
      </c>
      <c r="E32" s="495">
        <f t="shared" si="1"/>
        <v>2.04</v>
      </c>
      <c r="F32" s="496">
        <f t="shared" si="2"/>
        <v>46.92</v>
      </c>
      <c r="G32" s="495">
        <v>72</v>
      </c>
      <c r="H32" s="495">
        <f t="shared" si="3"/>
        <v>72</v>
      </c>
      <c r="I32" s="497">
        <f t="shared" si="4"/>
        <v>2.448</v>
      </c>
      <c r="J32" s="496">
        <f t="shared" si="5"/>
        <v>176.256</v>
      </c>
      <c r="K32" s="495">
        <v>16</v>
      </c>
      <c r="L32" s="495">
        <f t="shared" si="6"/>
        <v>16</v>
      </c>
      <c r="M32" s="497">
        <f t="shared" si="7"/>
        <v>2.8559999999999999</v>
      </c>
      <c r="N32" s="496">
        <f t="shared" si="8"/>
        <v>45.695999999999998</v>
      </c>
      <c r="O32" s="495">
        <v>4</v>
      </c>
      <c r="P32" s="495">
        <f t="shared" si="9"/>
        <v>4</v>
      </c>
      <c r="Q32" s="497">
        <f t="shared" si="10"/>
        <v>3.2639999999999998</v>
      </c>
      <c r="R32" s="496">
        <f t="shared" si="11"/>
        <v>13.055999999999999</v>
      </c>
      <c r="S32" s="498">
        <f t="shared" si="12"/>
        <v>281.92799999999994</v>
      </c>
    </row>
    <row r="33" spans="1:19" s="73" customFormat="1" ht="16.149999999999999" customHeight="1">
      <c r="A33" s="5">
        <v>23</v>
      </c>
      <c r="B33" s="499" t="s">
        <v>894</v>
      </c>
      <c r="C33" s="495"/>
      <c r="D33" s="495">
        <f t="shared" si="0"/>
        <v>0</v>
      </c>
      <c r="E33" s="495">
        <f t="shared" si="1"/>
        <v>2.04</v>
      </c>
      <c r="F33" s="496">
        <f t="shared" si="2"/>
        <v>0</v>
      </c>
      <c r="G33" s="495"/>
      <c r="H33" s="495">
        <f t="shared" si="3"/>
        <v>0</v>
      </c>
      <c r="I33" s="497">
        <f t="shared" si="4"/>
        <v>2.448</v>
      </c>
      <c r="J33" s="496">
        <f t="shared" si="5"/>
        <v>0</v>
      </c>
      <c r="K33" s="495"/>
      <c r="L33" s="495">
        <f t="shared" si="6"/>
        <v>0</v>
      </c>
      <c r="M33" s="497">
        <f t="shared" si="7"/>
        <v>2.8559999999999999</v>
      </c>
      <c r="N33" s="496">
        <f t="shared" si="8"/>
        <v>0</v>
      </c>
      <c r="O33" s="495"/>
      <c r="P33" s="495">
        <f t="shared" si="9"/>
        <v>0</v>
      </c>
      <c r="Q33" s="497">
        <f t="shared" si="10"/>
        <v>3.2639999999999998</v>
      </c>
      <c r="R33" s="496">
        <f t="shared" si="11"/>
        <v>0</v>
      </c>
      <c r="S33" s="498">
        <f t="shared" si="12"/>
        <v>0</v>
      </c>
    </row>
    <row r="34" spans="1:19" s="73" customFormat="1" ht="16.149999999999999" customHeight="1">
      <c r="A34" s="5">
        <v>24</v>
      </c>
      <c r="B34" s="499" t="s">
        <v>1011</v>
      </c>
      <c r="C34" s="495">
        <v>147</v>
      </c>
      <c r="D34" s="495">
        <f t="shared" si="0"/>
        <v>147</v>
      </c>
      <c r="E34" s="495">
        <f t="shared" si="1"/>
        <v>2.04</v>
      </c>
      <c r="F34" s="496">
        <f t="shared" si="2"/>
        <v>299.88</v>
      </c>
      <c r="G34" s="495">
        <v>22</v>
      </c>
      <c r="H34" s="495">
        <f t="shared" si="3"/>
        <v>22</v>
      </c>
      <c r="I34" s="497">
        <f t="shared" si="4"/>
        <v>2.448</v>
      </c>
      <c r="J34" s="496">
        <f t="shared" si="5"/>
        <v>53.856000000000002</v>
      </c>
      <c r="K34" s="495">
        <v>13</v>
      </c>
      <c r="L34" s="495">
        <f t="shared" si="6"/>
        <v>13</v>
      </c>
      <c r="M34" s="497">
        <f t="shared" si="7"/>
        <v>2.8559999999999999</v>
      </c>
      <c r="N34" s="496">
        <f t="shared" si="8"/>
        <v>37.128</v>
      </c>
      <c r="O34" s="495">
        <v>4</v>
      </c>
      <c r="P34" s="495">
        <f t="shared" si="9"/>
        <v>4</v>
      </c>
      <c r="Q34" s="497">
        <f t="shared" si="10"/>
        <v>3.2639999999999998</v>
      </c>
      <c r="R34" s="496">
        <f t="shared" si="11"/>
        <v>13.055999999999999</v>
      </c>
      <c r="S34" s="498">
        <f t="shared" si="12"/>
        <v>403.91999999999996</v>
      </c>
    </row>
    <row r="35" spans="1:19" s="73" customFormat="1" ht="16.149999999999999" customHeight="1">
      <c r="A35" s="5">
        <v>25</v>
      </c>
      <c r="B35" s="499" t="s">
        <v>896</v>
      </c>
      <c r="C35" s="495">
        <v>13</v>
      </c>
      <c r="D35" s="495">
        <f t="shared" si="0"/>
        <v>13</v>
      </c>
      <c r="E35" s="495">
        <f t="shared" si="1"/>
        <v>2.04</v>
      </c>
      <c r="F35" s="496">
        <f t="shared" si="2"/>
        <v>26.52</v>
      </c>
      <c r="G35" s="495">
        <v>39</v>
      </c>
      <c r="H35" s="495">
        <f t="shared" si="3"/>
        <v>39</v>
      </c>
      <c r="I35" s="497">
        <f t="shared" si="4"/>
        <v>2.448</v>
      </c>
      <c r="J35" s="496">
        <f t="shared" si="5"/>
        <v>95.471999999999994</v>
      </c>
      <c r="K35" s="495">
        <v>43</v>
      </c>
      <c r="L35" s="495">
        <f t="shared" si="6"/>
        <v>43</v>
      </c>
      <c r="M35" s="497">
        <f t="shared" si="7"/>
        <v>2.8559999999999999</v>
      </c>
      <c r="N35" s="496">
        <f t="shared" si="8"/>
        <v>122.80799999999999</v>
      </c>
      <c r="O35" s="495">
        <v>25</v>
      </c>
      <c r="P35" s="495">
        <f t="shared" si="9"/>
        <v>25</v>
      </c>
      <c r="Q35" s="497">
        <f t="shared" si="10"/>
        <v>3.2639999999999998</v>
      </c>
      <c r="R35" s="496">
        <f t="shared" si="11"/>
        <v>81.599999999999994</v>
      </c>
      <c r="S35" s="498">
        <f t="shared" si="12"/>
        <v>326.39999999999998</v>
      </c>
    </row>
    <row r="36" spans="1:19" s="73" customFormat="1" ht="16.149999999999999" customHeight="1">
      <c r="A36" s="5">
        <v>26</v>
      </c>
      <c r="B36" s="499" t="s">
        <v>897</v>
      </c>
      <c r="C36" s="495"/>
      <c r="D36" s="495">
        <f t="shared" si="0"/>
        <v>0</v>
      </c>
      <c r="E36" s="495">
        <f t="shared" si="1"/>
        <v>2.04</v>
      </c>
      <c r="F36" s="496">
        <f t="shared" si="2"/>
        <v>0</v>
      </c>
      <c r="G36" s="495">
        <v>22</v>
      </c>
      <c r="H36" s="495">
        <f t="shared" si="3"/>
        <v>22</v>
      </c>
      <c r="I36" s="497">
        <f t="shared" si="4"/>
        <v>2.448</v>
      </c>
      <c r="J36" s="496">
        <f t="shared" si="5"/>
        <v>53.856000000000002</v>
      </c>
      <c r="K36" s="495">
        <v>17</v>
      </c>
      <c r="L36" s="495">
        <f t="shared" si="6"/>
        <v>17</v>
      </c>
      <c r="M36" s="497">
        <f t="shared" si="7"/>
        <v>2.8559999999999999</v>
      </c>
      <c r="N36" s="496">
        <f t="shared" si="8"/>
        <v>48.552</v>
      </c>
      <c r="O36" s="495">
        <v>4</v>
      </c>
      <c r="P36" s="495">
        <f t="shared" si="9"/>
        <v>4</v>
      </c>
      <c r="Q36" s="497">
        <f t="shared" si="10"/>
        <v>3.2639999999999998</v>
      </c>
      <c r="R36" s="496">
        <f t="shared" si="11"/>
        <v>13.055999999999999</v>
      </c>
      <c r="S36" s="498">
        <f t="shared" si="12"/>
        <v>115.464</v>
      </c>
    </row>
    <row r="37" spans="1:19" s="73" customFormat="1" ht="16.149999999999999" customHeight="1">
      <c r="A37" s="5">
        <v>27</v>
      </c>
      <c r="B37" s="499" t="s">
        <v>898</v>
      </c>
      <c r="C37" s="495">
        <v>47</v>
      </c>
      <c r="D37" s="495">
        <f t="shared" si="0"/>
        <v>47</v>
      </c>
      <c r="E37" s="495">
        <f t="shared" si="1"/>
        <v>2.04</v>
      </c>
      <c r="F37" s="496">
        <f t="shared" si="2"/>
        <v>95.88</v>
      </c>
      <c r="G37" s="495">
        <v>72</v>
      </c>
      <c r="H37" s="495">
        <f t="shared" si="3"/>
        <v>72</v>
      </c>
      <c r="I37" s="497">
        <f t="shared" si="4"/>
        <v>2.448</v>
      </c>
      <c r="J37" s="496">
        <f t="shared" si="5"/>
        <v>176.256</v>
      </c>
      <c r="K37" s="495">
        <v>51</v>
      </c>
      <c r="L37" s="495">
        <f t="shared" si="6"/>
        <v>51</v>
      </c>
      <c r="M37" s="497">
        <f t="shared" si="7"/>
        <v>2.8559999999999999</v>
      </c>
      <c r="N37" s="496">
        <f t="shared" si="8"/>
        <v>145.65600000000001</v>
      </c>
      <c r="O37" s="495">
        <v>39</v>
      </c>
      <c r="P37" s="495">
        <f t="shared" si="9"/>
        <v>39</v>
      </c>
      <c r="Q37" s="497">
        <f t="shared" si="10"/>
        <v>3.2639999999999998</v>
      </c>
      <c r="R37" s="496">
        <f t="shared" si="11"/>
        <v>127.29599999999999</v>
      </c>
      <c r="S37" s="498">
        <f t="shared" si="12"/>
        <v>545.08799999999997</v>
      </c>
    </row>
    <row r="38" spans="1:19" s="73" customFormat="1" ht="16.149999999999999" customHeight="1">
      <c r="A38" s="5">
        <v>28</v>
      </c>
      <c r="B38" s="499" t="s">
        <v>1012</v>
      </c>
      <c r="C38" s="495">
        <v>15</v>
      </c>
      <c r="D38" s="495">
        <f t="shared" si="0"/>
        <v>15</v>
      </c>
      <c r="E38" s="495">
        <f t="shared" si="1"/>
        <v>2.04</v>
      </c>
      <c r="F38" s="496">
        <f t="shared" si="2"/>
        <v>30.6</v>
      </c>
      <c r="G38" s="495">
        <v>23</v>
      </c>
      <c r="H38" s="495">
        <f t="shared" si="3"/>
        <v>23</v>
      </c>
      <c r="I38" s="497">
        <f t="shared" si="4"/>
        <v>2.448</v>
      </c>
      <c r="J38" s="496">
        <f t="shared" si="5"/>
        <v>56.304000000000002</v>
      </c>
      <c r="K38" s="495">
        <v>15</v>
      </c>
      <c r="L38" s="495">
        <f t="shared" si="6"/>
        <v>15</v>
      </c>
      <c r="M38" s="497">
        <f t="shared" si="7"/>
        <v>2.8559999999999999</v>
      </c>
      <c r="N38" s="496">
        <f t="shared" si="8"/>
        <v>42.839999999999996</v>
      </c>
      <c r="O38" s="495">
        <v>13</v>
      </c>
      <c r="P38" s="495">
        <f t="shared" si="9"/>
        <v>13</v>
      </c>
      <c r="Q38" s="497">
        <f t="shared" si="10"/>
        <v>3.2639999999999998</v>
      </c>
      <c r="R38" s="496">
        <f t="shared" si="11"/>
        <v>42.431999999999995</v>
      </c>
      <c r="S38" s="498">
        <f t="shared" si="12"/>
        <v>172.17599999999999</v>
      </c>
    </row>
    <row r="39" spans="1:19" s="73" customFormat="1" ht="16.149999999999999" customHeight="1">
      <c r="A39" s="5">
        <v>29</v>
      </c>
      <c r="B39" s="499" t="s">
        <v>900</v>
      </c>
      <c r="C39" s="495">
        <v>24</v>
      </c>
      <c r="D39" s="495">
        <f t="shared" si="0"/>
        <v>24</v>
      </c>
      <c r="E39" s="495">
        <f t="shared" si="1"/>
        <v>2.04</v>
      </c>
      <c r="F39" s="496">
        <f t="shared" si="2"/>
        <v>48.96</v>
      </c>
      <c r="G39" s="495">
        <v>44</v>
      </c>
      <c r="H39" s="495">
        <f t="shared" si="3"/>
        <v>44</v>
      </c>
      <c r="I39" s="497">
        <f t="shared" si="4"/>
        <v>2.448</v>
      </c>
      <c r="J39" s="496">
        <f t="shared" si="5"/>
        <v>107.712</v>
      </c>
      <c r="K39" s="495">
        <v>14</v>
      </c>
      <c r="L39" s="495">
        <f t="shared" si="6"/>
        <v>14</v>
      </c>
      <c r="M39" s="497">
        <f t="shared" si="7"/>
        <v>2.8559999999999999</v>
      </c>
      <c r="N39" s="496">
        <f t="shared" si="8"/>
        <v>39.983999999999995</v>
      </c>
      <c r="O39" s="495">
        <v>3</v>
      </c>
      <c r="P39" s="495">
        <f t="shared" si="9"/>
        <v>3</v>
      </c>
      <c r="Q39" s="497">
        <f t="shared" si="10"/>
        <v>3.2639999999999998</v>
      </c>
      <c r="R39" s="496">
        <f t="shared" si="11"/>
        <v>9.7919999999999998</v>
      </c>
      <c r="S39" s="498">
        <f t="shared" si="12"/>
        <v>206.44800000000001</v>
      </c>
    </row>
    <row r="40" spans="1:19" s="73" customFormat="1" ht="16.149999999999999" customHeight="1">
      <c r="A40" s="5">
        <v>30</v>
      </c>
      <c r="B40" s="499" t="s">
        <v>901</v>
      </c>
      <c r="C40" s="495">
        <v>12</v>
      </c>
      <c r="D40" s="495">
        <f t="shared" si="0"/>
        <v>12</v>
      </c>
      <c r="E40" s="495">
        <f t="shared" si="1"/>
        <v>2.04</v>
      </c>
      <c r="F40" s="496">
        <f t="shared" si="2"/>
        <v>24.48</v>
      </c>
      <c r="G40" s="495">
        <v>32</v>
      </c>
      <c r="H40" s="495">
        <f t="shared" si="3"/>
        <v>32</v>
      </c>
      <c r="I40" s="497">
        <f t="shared" si="4"/>
        <v>2.448</v>
      </c>
      <c r="J40" s="496">
        <f t="shared" si="5"/>
        <v>78.335999999999999</v>
      </c>
      <c r="K40" s="495">
        <v>47</v>
      </c>
      <c r="L40" s="495">
        <f t="shared" si="6"/>
        <v>47</v>
      </c>
      <c r="M40" s="497">
        <f t="shared" si="7"/>
        <v>2.8559999999999999</v>
      </c>
      <c r="N40" s="496">
        <f t="shared" si="8"/>
        <v>134.232</v>
      </c>
      <c r="O40" s="495">
        <v>27</v>
      </c>
      <c r="P40" s="495">
        <f t="shared" si="9"/>
        <v>27</v>
      </c>
      <c r="Q40" s="497">
        <f t="shared" si="10"/>
        <v>3.2639999999999998</v>
      </c>
      <c r="R40" s="496">
        <f t="shared" si="11"/>
        <v>88.128</v>
      </c>
      <c r="S40" s="498">
        <f t="shared" si="12"/>
        <v>325.17599999999999</v>
      </c>
    </row>
    <row r="41" spans="1:19" s="73" customFormat="1" ht="16.149999999999999" customHeight="1">
      <c r="A41" s="5">
        <v>31</v>
      </c>
      <c r="B41" s="499" t="s">
        <v>902</v>
      </c>
      <c r="C41" s="495">
        <v>36</v>
      </c>
      <c r="D41" s="495">
        <f t="shared" si="0"/>
        <v>36</v>
      </c>
      <c r="E41" s="495">
        <f t="shared" si="1"/>
        <v>2.04</v>
      </c>
      <c r="F41" s="496">
        <f t="shared" si="2"/>
        <v>73.44</v>
      </c>
      <c r="G41" s="495">
        <v>28</v>
      </c>
      <c r="H41" s="495">
        <f t="shared" si="3"/>
        <v>28</v>
      </c>
      <c r="I41" s="497">
        <f t="shared" si="4"/>
        <v>2.448</v>
      </c>
      <c r="J41" s="496">
        <f t="shared" si="5"/>
        <v>68.543999999999997</v>
      </c>
      <c r="K41" s="495">
        <v>13</v>
      </c>
      <c r="L41" s="495">
        <f t="shared" si="6"/>
        <v>13</v>
      </c>
      <c r="M41" s="497">
        <f t="shared" si="7"/>
        <v>2.8559999999999999</v>
      </c>
      <c r="N41" s="496">
        <f t="shared" si="8"/>
        <v>37.128</v>
      </c>
      <c r="O41" s="495">
        <v>1</v>
      </c>
      <c r="P41" s="495">
        <f t="shared" si="9"/>
        <v>1</v>
      </c>
      <c r="Q41" s="497">
        <f t="shared" si="10"/>
        <v>3.2639999999999998</v>
      </c>
      <c r="R41" s="496">
        <f t="shared" si="11"/>
        <v>3.2639999999999998</v>
      </c>
      <c r="S41" s="498">
        <f t="shared" si="12"/>
        <v>182.37599999999998</v>
      </c>
    </row>
    <row r="42" spans="1:19" s="73" customFormat="1" ht="16.149999999999999" customHeight="1">
      <c r="A42" s="5">
        <v>32</v>
      </c>
      <c r="B42" s="499" t="s">
        <v>903</v>
      </c>
      <c r="C42" s="495">
        <v>534</v>
      </c>
      <c r="D42" s="495">
        <f t="shared" si="0"/>
        <v>534</v>
      </c>
      <c r="E42" s="495">
        <f t="shared" si="1"/>
        <v>2.04</v>
      </c>
      <c r="F42" s="496">
        <f t="shared" si="2"/>
        <v>1089.3600000000001</v>
      </c>
      <c r="G42" s="495">
        <v>11</v>
      </c>
      <c r="H42" s="495">
        <f t="shared" si="3"/>
        <v>11</v>
      </c>
      <c r="I42" s="497">
        <f t="shared" si="4"/>
        <v>2.448</v>
      </c>
      <c r="J42" s="496">
        <f t="shared" si="5"/>
        <v>26.928000000000001</v>
      </c>
      <c r="K42" s="495">
        <v>1</v>
      </c>
      <c r="L42" s="495">
        <f t="shared" si="6"/>
        <v>1</v>
      </c>
      <c r="M42" s="497">
        <f t="shared" si="7"/>
        <v>2.8559999999999999</v>
      </c>
      <c r="N42" s="496">
        <f t="shared" si="8"/>
        <v>2.8559999999999999</v>
      </c>
      <c r="O42" s="495">
        <v>1</v>
      </c>
      <c r="P42" s="495">
        <f t="shared" si="9"/>
        <v>1</v>
      </c>
      <c r="Q42" s="497">
        <f t="shared" si="10"/>
        <v>3.2639999999999998</v>
      </c>
      <c r="R42" s="496">
        <f t="shared" si="11"/>
        <v>3.2639999999999998</v>
      </c>
      <c r="S42" s="498">
        <f t="shared" si="12"/>
        <v>1122.4080000000001</v>
      </c>
    </row>
    <row r="43" spans="1:19" s="73" customFormat="1" ht="16.149999999999999" customHeight="1">
      <c r="A43" s="5">
        <v>33</v>
      </c>
      <c r="B43" s="499" t="s">
        <v>904</v>
      </c>
      <c r="C43" s="495">
        <v>77</v>
      </c>
      <c r="D43" s="495">
        <f t="shared" si="0"/>
        <v>77</v>
      </c>
      <c r="E43" s="495">
        <f t="shared" si="1"/>
        <v>2.04</v>
      </c>
      <c r="F43" s="496">
        <f t="shared" si="2"/>
        <v>157.08000000000001</v>
      </c>
      <c r="G43" s="495">
        <v>6</v>
      </c>
      <c r="H43" s="495">
        <f t="shared" si="3"/>
        <v>6</v>
      </c>
      <c r="I43" s="497">
        <f t="shared" si="4"/>
        <v>2.448</v>
      </c>
      <c r="J43" s="496">
        <f t="shared" si="5"/>
        <v>14.687999999999999</v>
      </c>
      <c r="K43" s="495">
        <v>6</v>
      </c>
      <c r="L43" s="495">
        <f t="shared" si="6"/>
        <v>6</v>
      </c>
      <c r="M43" s="497">
        <f t="shared" si="7"/>
        <v>2.8559999999999999</v>
      </c>
      <c r="N43" s="496">
        <f t="shared" si="8"/>
        <v>17.135999999999999</v>
      </c>
      <c r="O43" s="495">
        <v>4</v>
      </c>
      <c r="P43" s="495">
        <f t="shared" si="9"/>
        <v>4</v>
      </c>
      <c r="Q43" s="497">
        <f t="shared" si="10"/>
        <v>3.2639999999999998</v>
      </c>
      <c r="R43" s="496">
        <f t="shared" si="11"/>
        <v>13.055999999999999</v>
      </c>
      <c r="S43" s="498">
        <f t="shared" si="12"/>
        <v>201.96</v>
      </c>
    </row>
    <row r="44" spans="1:19">
      <c r="A44" s="232" t="s">
        <v>18</v>
      </c>
      <c r="B44" s="74"/>
      <c r="C44" s="500">
        <f>SUM(C11:C43)</f>
        <v>1904</v>
      </c>
      <c r="D44" s="500">
        <f>SUM(D11:D43)</f>
        <v>1904</v>
      </c>
      <c r="E44" s="500"/>
      <c r="F44" s="501">
        <f>SUM(F11:F43)</f>
        <v>3884.1600000000003</v>
      </c>
      <c r="G44" s="500">
        <f>SUM(G11:G43)</f>
        <v>1246</v>
      </c>
      <c r="H44" s="500">
        <f>SUM(H11:H43)</f>
        <v>1246</v>
      </c>
      <c r="I44" s="500"/>
      <c r="J44" s="501">
        <f>SUM(J11:J43)</f>
        <v>3050.2080000000001</v>
      </c>
      <c r="K44" s="500">
        <f>SUM(K11:K43)</f>
        <v>844</v>
      </c>
      <c r="L44" s="500">
        <f>SUM(L11:L43)</f>
        <v>844</v>
      </c>
      <c r="M44" s="500"/>
      <c r="N44" s="501">
        <f>SUM(N11:N43)</f>
        <v>2410.4639999999999</v>
      </c>
      <c r="O44" s="500">
        <f>SUM(O11:O43)</f>
        <v>411</v>
      </c>
      <c r="P44" s="500">
        <f>SUM(P11:P43)</f>
        <v>411</v>
      </c>
      <c r="Q44" s="500"/>
      <c r="R44" s="501">
        <f>SUM(R11:R43)</f>
        <v>1341.5039999999999</v>
      </c>
      <c r="S44" s="498">
        <f t="shared" si="12"/>
        <v>10686.335999999999</v>
      </c>
    </row>
    <row r="45" spans="1:19">
      <c r="A45" s="233" t="s">
        <v>489</v>
      </c>
      <c r="B45" s="75"/>
      <c r="C45" s="75"/>
      <c r="D45" s="75"/>
      <c r="E45" s="75"/>
      <c r="F45" s="75"/>
      <c r="G45" s="75"/>
      <c r="H45" s="75"/>
      <c r="I45" s="75"/>
      <c r="J45" s="75"/>
      <c r="K45" s="75"/>
      <c r="L45" s="75"/>
      <c r="M45" s="75"/>
      <c r="N45" s="75"/>
      <c r="O45" s="75"/>
      <c r="P45" s="75"/>
      <c r="Q45" s="75"/>
      <c r="R45" s="75"/>
      <c r="S45" s="75"/>
    </row>
    <row r="46" spans="1:19">
      <c r="A46" s="233"/>
      <c r="B46" s="75"/>
      <c r="C46" s="75"/>
      <c r="D46" s="75"/>
      <c r="E46" s="75"/>
      <c r="F46" s="75"/>
      <c r="G46" s="75"/>
      <c r="H46" s="75"/>
      <c r="I46" s="75"/>
      <c r="J46" s="75"/>
      <c r="K46" s="75"/>
      <c r="L46" s="75"/>
      <c r="M46" s="75"/>
      <c r="N46" s="75"/>
      <c r="O46" s="75"/>
      <c r="P46" s="75"/>
      <c r="Q46" s="75"/>
      <c r="R46" s="75"/>
      <c r="S46" s="75"/>
    </row>
    <row r="47" spans="1:19" s="16" customFormat="1" ht="12.6" customHeight="1">
      <c r="A47" s="15"/>
      <c r="G47" s="15"/>
      <c r="H47" s="15"/>
      <c r="K47" s="15"/>
      <c r="L47" s="15"/>
      <c r="M47" s="15"/>
      <c r="N47" s="15"/>
      <c r="O47" s="15"/>
      <c r="P47" s="15"/>
      <c r="Q47" s="15"/>
      <c r="R47" s="1202"/>
      <c r="S47" s="1202"/>
    </row>
    <row r="48" spans="1:19" s="994" customFormat="1" ht="15.6" customHeight="1">
      <c r="A48" s="15" t="s">
        <v>12</v>
      </c>
      <c r="B48" s="15"/>
      <c r="C48" s="15"/>
      <c r="N48" s="1040" t="s">
        <v>1106</v>
      </c>
      <c r="O48" s="1040"/>
      <c r="P48" s="1040"/>
      <c r="Q48" s="1040"/>
    </row>
    <row r="49" spans="1:18" s="994" customFormat="1" ht="15.6" customHeight="1">
      <c r="N49" s="1040" t="s">
        <v>481</v>
      </c>
      <c r="O49" s="1040"/>
      <c r="P49" s="1040"/>
      <c r="Q49" s="1040"/>
    </row>
    <row r="50" spans="1:18" s="994" customFormat="1" ht="15.6" customHeight="1">
      <c r="N50" s="1040" t="s">
        <v>1107</v>
      </c>
      <c r="O50" s="1040"/>
      <c r="P50" s="1040"/>
      <c r="Q50" s="1040"/>
    </row>
    <row r="51" spans="1:18" s="222" customFormat="1" ht="12.75">
      <c r="A51" s="229"/>
      <c r="B51" s="229"/>
      <c r="H51" s="229"/>
      <c r="I51" s="229"/>
      <c r="J51" s="229"/>
      <c r="K51" s="229"/>
      <c r="L51" s="229"/>
      <c r="M51" s="229"/>
      <c r="N51" s="229"/>
      <c r="O51" s="229"/>
      <c r="P51" s="229"/>
      <c r="Q51" s="229"/>
      <c r="R51" s="229"/>
    </row>
  </sheetData>
  <mergeCells count="14">
    <mergeCell ref="N48:Q48"/>
    <mergeCell ref="N49:Q49"/>
    <mergeCell ref="N50:Q50"/>
    <mergeCell ref="A8:A9"/>
    <mergeCell ref="B8:B9"/>
    <mergeCell ref="C8:F8"/>
    <mergeCell ref="G8:J8"/>
    <mergeCell ref="K8:N8"/>
    <mergeCell ref="Q1:R1"/>
    <mergeCell ref="G2:M2"/>
    <mergeCell ref="R47:S47"/>
    <mergeCell ref="B4:S4"/>
    <mergeCell ref="S8:S9"/>
    <mergeCell ref="O8:R8"/>
  </mergeCells>
  <phoneticPr fontId="0" type="noConversion"/>
  <printOptions horizontalCentered="1"/>
  <pageMargins left="0.70866141732283472" right="0.70866141732283472" top="0.63" bottom="0" header="0.79" footer="0.31496062992125984"/>
  <pageSetup paperSize="9" scale="58" orientation="landscape" r:id="rId1"/>
</worksheet>
</file>

<file path=xl/worksheets/sheet64.xml><?xml version="1.0" encoding="utf-8"?>
<worksheet xmlns="http://schemas.openxmlformats.org/spreadsheetml/2006/main" xmlns:r="http://schemas.openxmlformats.org/officeDocument/2006/relationships">
  <sheetPr>
    <pageSetUpPr fitToPage="1"/>
  </sheetPr>
  <dimension ref="A1:AG45"/>
  <sheetViews>
    <sheetView tabSelected="1" topLeftCell="B1" zoomScale="102" zoomScaleNormal="102" zoomScaleSheetLayoutView="100" workbookViewId="0">
      <selection activeCell="AA7" sqref="AA7:AA40"/>
    </sheetView>
  </sheetViews>
  <sheetFormatPr defaultRowHeight="12.75"/>
  <cols>
    <col min="1" max="1" width="3.7109375" style="140" customWidth="1"/>
    <col min="2" max="2" width="9.42578125" customWidth="1"/>
    <col min="3" max="3" width="5" bestFit="1" customWidth="1"/>
    <col min="4" max="4" width="5.28515625" bestFit="1" customWidth="1"/>
    <col min="5" max="5" width="4.85546875" bestFit="1" customWidth="1"/>
    <col min="6" max="6" width="6.7109375" bestFit="1" customWidth="1"/>
    <col min="7" max="9" width="5" customWidth="1"/>
    <col min="10" max="10" width="4.85546875" customWidth="1"/>
    <col min="11" max="11" width="4.85546875" bestFit="1" customWidth="1"/>
    <col min="12" max="12" width="6.7109375" customWidth="1"/>
    <col min="13" max="13" width="4.7109375" customWidth="1"/>
    <col min="14" max="14" width="5.28515625" bestFit="1" customWidth="1"/>
    <col min="15" max="15" width="5.42578125" customWidth="1"/>
    <col min="16" max="17" width="4.85546875" bestFit="1" customWidth="1"/>
    <col min="18" max="18" width="6.7109375" bestFit="1" customWidth="1"/>
    <col min="19" max="19" width="5.85546875" customWidth="1"/>
    <col min="20" max="20" width="5.28515625" customWidth="1"/>
    <col min="21" max="21" width="4.7109375" customWidth="1"/>
    <col min="22" max="22" width="5" customWidth="1"/>
    <col min="23" max="23" width="4.42578125" customWidth="1"/>
    <col min="24" max="24" width="6.5703125" customWidth="1"/>
    <col min="25" max="25" width="5" customWidth="1"/>
    <col min="26" max="27" width="4.140625" customWidth="1"/>
    <col min="28" max="28" width="5.28515625" customWidth="1"/>
    <col min="29" max="29" width="5" customWidth="1"/>
    <col min="30" max="30" width="6.85546875" customWidth="1"/>
    <col min="31" max="31" width="5.140625" customWidth="1"/>
    <col min="32" max="32" width="6" customWidth="1"/>
  </cols>
  <sheetData>
    <row r="1" spans="1:33">
      <c r="A1" s="651"/>
      <c r="B1" s="652"/>
      <c r="C1" s="652"/>
      <c r="D1" s="652"/>
      <c r="E1" s="652"/>
      <c r="F1" s="652"/>
      <c r="G1" s="1598" t="s">
        <v>0</v>
      </c>
      <c r="H1" s="1598"/>
      <c r="I1" s="1598"/>
      <c r="J1" s="1598"/>
      <c r="K1" s="1598"/>
      <c r="L1" s="1598"/>
      <c r="M1" s="1598"/>
      <c r="N1" s="1598"/>
      <c r="O1" s="652"/>
      <c r="P1" s="652"/>
      <c r="Q1" s="652"/>
      <c r="R1" s="652"/>
      <c r="S1" s="652"/>
      <c r="T1" s="652"/>
      <c r="U1" s="652"/>
      <c r="V1" s="652"/>
      <c r="W1" s="652"/>
      <c r="X1" s="652"/>
      <c r="Y1" s="652"/>
      <c r="Z1" s="653"/>
      <c r="AA1" s="653"/>
      <c r="AB1" s="653"/>
      <c r="AC1" s="653"/>
      <c r="AD1" s="1599" t="s">
        <v>539</v>
      </c>
      <c r="AE1" s="1599"/>
      <c r="AF1" s="1599"/>
    </row>
    <row r="2" spans="1:33" s="9" customFormat="1">
      <c r="A2" s="1600" t="s">
        <v>636</v>
      </c>
      <c r="B2" s="1601"/>
      <c r="C2" s="1601"/>
      <c r="D2" s="1601"/>
      <c r="E2" s="1601"/>
      <c r="F2" s="1601"/>
      <c r="G2" s="1601"/>
      <c r="H2" s="1601"/>
      <c r="I2" s="1601"/>
      <c r="J2" s="1601"/>
      <c r="K2" s="1601"/>
      <c r="L2" s="1601"/>
      <c r="M2" s="1601"/>
      <c r="N2" s="1601"/>
      <c r="O2" s="1601"/>
      <c r="P2" s="1601"/>
      <c r="Q2" s="1601"/>
      <c r="R2" s="1601"/>
      <c r="S2" s="1601"/>
      <c r="T2" s="652"/>
      <c r="U2" s="652"/>
      <c r="V2" s="652"/>
      <c r="W2" s="652"/>
      <c r="X2" s="652"/>
      <c r="Y2" s="652"/>
      <c r="Z2" s="652"/>
      <c r="AA2" s="652"/>
      <c r="AB2" s="652"/>
      <c r="AC2" s="652"/>
      <c r="AD2" s="652"/>
      <c r="AE2" s="652"/>
      <c r="AF2" s="652"/>
      <c r="AG2" s="141"/>
    </row>
    <row r="3" spans="1:33" s="9" customFormat="1">
      <c r="A3" s="1587" t="s">
        <v>1066</v>
      </c>
      <c r="B3" s="1588"/>
      <c r="C3" s="1588"/>
      <c r="D3" s="1588"/>
      <c r="E3" s="1588"/>
      <c r="F3" s="1588"/>
      <c r="G3" s="1588"/>
      <c r="H3" s="1588"/>
      <c r="I3" s="1588"/>
      <c r="J3" s="1588"/>
      <c r="K3" s="1588"/>
      <c r="L3" s="1588"/>
      <c r="M3" s="1588"/>
      <c r="N3" s="1588"/>
      <c r="O3" s="1588"/>
      <c r="P3" s="1588"/>
      <c r="Q3" s="1588"/>
      <c r="R3" s="1588"/>
      <c r="S3" s="1588"/>
      <c r="T3" s="1588"/>
      <c r="U3" s="1588"/>
      <c r="V3" s="1588"/>
      <c r="W3" s="1588"/>
      <c r="X3" s="1588"/>
      <c r="Y3" s="1588"/>
      <c r="Z3" s="1588"/>
      <c r="AA3" s="1588"/>
      <c r="AB3" s="1588"/>
      <c r="AC3" s="1588"/>
      <c r="AD3" s="1588"/>
      <c r="AE3" s="1588"/>
      <c r="AF3" s="1588"/>
      <c r="AG3" s="141"/>
    </row>
    <row r="4" spans="1:33" s="9" customFormat="1">
      <c r="A4" s="1589" t="s">
        <v>2</v>
      </c>
      <c r="B4" s="1591" t="s">
        <v>3</v>
      </c>
      <c r="C4" s="1593" t="s">
        <v>108</v>
      </c>
      <c r="D4" s="1594"/>
      <c r="E4" s="1594"/>
      <c r="F4" s="1594"/>
      <c r="G4" s="1594"/>
      <c r="H4" s="1595"/>
      <c r="I4" s="654" t="s">
        <v>672</v>
      </c>
      <c r="J4" s="654"/>
      <c r="K4" s="654"/>
      <c r="L4" s="654"/>
      <c r="M4" s="654"/>
      <c r="N4" s="654"/>
      <c r="O4" s="654" t="s">
        <v>198</v>
      </c>
      <c r="P4" s="654"/>
      <c r="Q4" s="654"/>
      <c r="R4" s="654"/>
      <c r="S4" s="654"/>
      <c r="T4" s="655"/>
      <c r="U4" s="654" t="s">
        <v>107</v>
      </c>
      <c r="V4" s="654"/>
      <c r="W4" s="654"/>
      <c r="X4" s="654"/>
      <c r="Y4" s="654"/>
      <c r="Z4" s="654"/>
      <c r="AA4" s="654" t="s">
        <v>238</v>
      </c>
      <c r="AB4" s="654"/>
      <c r="AC4" s="654"/>
      <c r="AD4" s="654"/>
      <c r="AE4" s="654"/>
      <c r="AF4" s="654"/>
    </row>
    <row r="5" spans="1:33" ht="45">
      <c r="A5" s="1590"/>
      <c r="B5" s="1592"/>
      <c r="C5" s="656" t="s">
        <v>92</v>
      </c>
      <c r="D5" s="657" t="s">
        <v>96</v>
      </c>
      <c r="E5" s="657" t="s">
        <v>97</v>
      </c>
      <c r="F5" s="658" t="s">
        <v>356</v>
      </c>
      <c r="G5" s="658" t="s">
        <v>239</v>
      </c>
      <c r="H5" s="659" t="s">
        <v>18</v>
      </c>
      <c r="I5" s="659" t="s">
        <v>92</v>
      </c>
      <c r="J5" s="658" t="s">
        <v>96</v>
      </c>
      <c r="K5" s="658" t="s">
        <v>97</v>
      </c>
      <c r="L5" s="658" t="s">
        <v>356</v>
      </c>
      <c r="M5" s="658" t="s">
        <v>239</v>
      </c>
      <c r="N5" s="659" t="s">
        <v>18</v>
      </c>
      <c r="O5" s="659" t="s">
        <v>92</v>
      </c>
      <c r="P5" s="658" t="s">
        <v>96</v>
      </c>
      <c r="Q5" s="658" t="s">
        <v>97</v>
      </c>
      <c r="R5" s="658" t="s">
        <v>356</v>
      </c>
      <c r="S5" s="658" t="s">
        <v>239</v>
      </c>
      <c r="T5" s="659" t="s">
        <v>18</v>
      </c>
      <c r="U5" s="659" t="s">
        <v>92</v>
      </c>
      <c r="V5" s="658" t="s">
        <v>96</v>
      </c>
      <c r="W5" s="658" t="s">
        <v>97</v>
      </c>
      <c r="X5" s="658" t="s">
        <v>356</v>
      </c>
      <c r="Y5" s="658" t="s">
        <v>239</v>
      </c>
      <c r="Z5" s="659" t="s">
        <v>18</v>
      </c>
      <c r="AA5" s="659" t="s">
        <v>92</v>
      </c>
      <c r="AB5" s="658" t="s">
        <v>96</v>
      </c>
      <c r="AC5" s="658" t="s">
        <v>97</v>
      </c>
      <c r="AD5" s="658" t="s">
        <v>356</v>
      </c>
      <c r="AE5" s="658" t="s">
        <v>239</v>
      </c>
      <c r="AF5" s="659" t="s">
        <v>18</v>
      </c>
    </row>
    <row r="6" spans="1:33" s="338" customFormat="1">
      <c r="A6" s="660">
        <v>1</v>
      </c>
      <c r="B6" s="660">
        <v>2</v>
      </c>
      <c r="C6" s="660">
        <v>3</v>
      </c>
      <c r="D6" s="660">
        <v>4</v>
      </c>
      <c r="E6" s="660">
        <v>5</v>
      </c>
      <c r="F6" s="660">
        <v>6</v>
      </c>
      <c r="G6" s="660">
        <v>7</v>
      </c>
      <c r="H6" s="660">
        <v>9</v>
      </c>
      <c r="I6" s="660">
        <v>10</v>
      </c>
      <c r="J6" s="660">
        <v>11</v>
      </c>
      <c r="K6" s="660">
        <v>12</v>
      </c>
      <c r="L6" s="660">
        <v>13</v>
      </c>
      <c r="M6" s="660">
        <v>14</v>
      </c>
      <c r="N6" s="660">
        <v>16</v>
      </c>
      <c r="O6" s="660">
        <v>17</v>
      </c>
      <c r="P6" s="660">
        <v>18</v>
      </c>
      <c r="Q6" s="660">
        <v>19</v>
      </c>
      <c r="R6" s="660">
        <v>20</v>
      </c>
      <c r="S6" s="660">
        <v>21</v>
      </c>
      <c r="T6" s="660">
        <v>23</v>
      </c>
      <c r="U6" s="660">
        <v>24</v>
      </c>
      <c r="V6" s="660">
        <v>25</v>
      </c>
      <c r="W6" s="660">
        <v>26</v>
      </c>
      <c r="X6" s="660">
        <v>27</v>
      </c>
      <c r="Y6" s="660">
        <v>28</v>
      </c>
      <c r="Z6" s="660">
        <v>30</v>
      </c>
      <c r="AA6" s="660">
        <v>31</v>
      </c>
      <c r="AB6" s="660">
        <v>32</v>
      </c>
      <c r="AC6" s="660">
        <v>33</v>
      </c>
      <c r="AD6" s="660">
        <v>34</v>
      </c>
      <c r="AE6" s="660">
        <v>35</v>
      </c>
      <c r="AF6" s="660">
        <v>37</v>
      </c>
    </row>
    <row r="7" spans="1:33">
      <c r="A7" s="661">
        <v>1</v>
      </c>
      <c r="B7" s="654" t="s">
        <v>825</v>
      </c>
      <c r="C7" s="661">
        <v>24</v>
      </c>
      <c r="D7" s="661">
        <v>1220</v>
      </c>
      <c r="E7" s="661">
        <v>0</v>
      </c>
      <c r="F7" s="661">
        <v>51</v>
      </c>
      <c r="G7" s="661">
        <v>0</v>
      </c>
      <c r="H7" s="661">
        <v>1295</v>
      </c>
      <c r="I7" s="661">
        <v>1355</v>
      </c>
      <c r="J7" s="661">
        <v>0</v>
      </c>
      <c r="K7" s="661">
        <v>0</v>
      </c>
      <c r="L7" s="661">
        <v>0</v>
      </c>
      <c r="M7" s="661">
        <v>0</v>
      </c>
      <c r="N7" s="661">
        <v>1355</v>
      </c>
      <c r="O7" s="661">
        <v>1355</v>
      </c>
      <c r="P7" s="661">
        <v>0</v>
      </c>
      <c r="Q7" s="661">
        <v>0</v>
      </c>
      <c r="R7" s="661">
        <v>0</v>
      </c>
      <c r="S7" s="661">
        <v>0</v>
      </c>
      <c r="T7" s="661">
        <v>1355</v>
      </c>
      <c r="U7" s="661">
        <v>0</v>
      </c>
      <c r="V7" s="661">
        <v>0</v>
      </c>
      <c r="W7" s="661">
        <v>0</v>
      </c>
      <c r="X7" s="661">
        <v>0</v>
      </c>
      <c r="Y7" s="661">
        <v>0</v>
      </c>
      <c r="Z7" s="661">
        <v>0</v>
      </c>
      <c r="AA7" s="661"/>
      <c r="AB7" s="661">
        <v>0</v>
      </c>
      <c r="AC7" s="661">
        <v>0</v>
      </c>
      <c r="AD7" s="661">
        <v>0</v>
      </c>
      <c r="AE7" s="661">
        <v>0</v>
      </c>
      <c r="AF7" s="661">
        <v>0</v>
      </c>
    </row>
    <row r="8" spans="1:33">
      <c r="A8" s="661">
        <v>2</v>
      </c>
      <c r="B8" s="654" t="s">
        <v>826</v>
      </c>
      <c r="C8" s="661">
        <v>32</v>
      </c>
      <c r="D8" s="661">
        <v>756</v>
      </c>
      <c r="E8" s="661">
        <v>0</v>
      </c>
      <c r="F8" s="661">
        <v>23</v>
      </c>
      <c r="G8" s="661">
        <v>0</v>
      </c>
      <c r="H8" s="661">
        <v>811</v>
      </c>
      <c r="I8" s="661">
        <v>802</v>
      </c>
      <c r="J8" s="661">
        <v>0</v>
      </c>
      <c r="K8" s="661">
        <v>0</v>
      </c>
      <c r="L8" s="661">
        <v>0</v>
      </c>
      <c r="M8" s="661">
        <v>0</v>
      </c>
      <c r="N8" s="661">
        <v>802</v>
      </c>
      <c r="O8" s="661">
        <v>802</v>
      </c>
      <c r="P8" s="661">
        <v>0</v>
      </c>
      <c r="Q8" s="661">
        <v>0</v>
      </c>
      <c r="R8" s="661">
        <v>0</v>
      </c>
      <c r="S8" s="661">
        <v>0</v>
      </c>
      <c r="T8" s="661">
        <v>802</v>
      </c>
      <c r="U8" s="661">
        <v>0</v>
      </c>
      <c r="V8" s="661">
        <v>0</v>
      </c>
      <c r="W8" s="661">
        <v>0</v>
      </c>
      <c r="X8" s="661">
        <v>0</v>
      </c>
      <c r="Y8" s="661">
        <v>0</v>
      </c>
      <c r="Z8" s="661">
        <v>0</v>
      </c>
      <c r="AA8" s="661"/>
      <c r="AB8" s="661">
        <v>0</v>
      </c>
      <c r="AC8" s="661">
        <v>0</v>
      </c>
      <c r="AD8" s="661">
        <v>0</v>
      </c>
      <c r="AE8" s="661">
        <v>0</v>
      </c>
      <c r="AF8" s="661">
        <v>0</v>
      </c>
    </row>
    <row r="9" spans="1:33">
      <c r="A9" s="661">
        <v>3</v>
      </c>
      <c r="B9" s="654" t="s">
        <v>827</v>
      </c>
      <c r="C9" s="661">
        <v>52</v>
      </c>
      <c r="D9" s="661">
        <v>1380</v>
      </c>
      <c r="E9" s="661">
        <v>0</v>
      </c>
      <c r="F9" s="661">
        <v>17</v>
      </c>
      <c r="G9" s="661">
        <v>0</v>
      </c>
      <c r="H9" s="661">
        <v>1449</v>
      </c>
      <c r="I9" s="661">
        <v>1753</v>
      </c>
      <c r="J9" s="661">
        <v>0</v>
      </c>
      <c r="K9" s="661">
        <v>0</v>
      </c>
      <c r="L9" s="661">
        <v>0</v>
      </c>
      <c r="M9" s="661">
        <v>0</v>
      </c>
      <c r="N9" s="661">
        <v>1753</v>
      </c>
      <c r="O9" s="661">
        <v>1753</v>
      </c>
      <c r="P9" s="661">
        <v>0</v>
      </c>
      <c r="Q9" s="661">
        <v>0</v>
      </c>
      <c r="R9" s="661">
        <v>0</v>
      </c>
      <c r="S9" s="661">
        <v>0</v>
      </c>
      <c r="T9" s="661">
        <v>1753</v>
      </c>
      <c r="U9" s="661">
        <v>0</v>
      </c>
      <c r="V9" s="661">
        <v>0</v>
      </c>
      <c r="W9" s="661">
        <v>0</v>
      </c>
      <c r="X9" s="661">
        <v>0</v>
      </c>
      <c r="Y9" s="661">
        <v>0</v>
      </c>
      <c r="Z9" s="661">
        <v>0</v>
      </c>
      <c r="AA9" s="661"/>
      <c r="AB9" s="661">
        <v>0</v>
      </c>
      <c r="AC9" s="661">
        <v>0</v>
      </c>
      <c r="AD9" s="661">
        <v>0</v>
      </c>
      <c r="AE9" s="661">
        <v>0</v>
      </c>
      <c r="AF9" s="661">
        <v>0</v>
      </c>
    </row>
    <row r="10" spans="1:33">
      <c r="A10" s="661">
        <v>4</v>
      </c>
      <c r="B10" s="654" t="s">
        <v>828</v>
      </c>
      <c r="C10" s="661">
        <v>36</v>
      </c>
      <c r="D10" s="661">
        <v>1054</v>
      </c>
      <c r="E10" s="661">
        <v>0</v>
      </c>
      <c r="F10" s="661">
        <v>11</v>
      </c>
      <c r="G10" s="661">
        <v>0</v>
      </c>
      <c r="H10" s="661">
        <v>1101</v>
      </c>
      <c r="I10" s="661">
        <v>1092</v>
      </c>
      <c r="J10" s="661">
        <v>0</v>
      </c>
      <c r="K10" s="661">
        <v>0</v>
      </c>
      <c r="L10" s="661">
        <v>0</v>
      </c>
      <c r="M10" s="661">
        <v>0</v>
      </c>
      <c r="N10" s="661">
        <v>1092</v>
      </c>
      <c r="O10" s="661">
        <v>1092</v>
      </c>
      <c r="P10" s="661">
        <v>0</v>
      </c>
      <c r="Q10" s="661">
        <v>0</v>
      </c>
      <c r="R10" s="661">
        <v>0</v>
      </c>
      <c r="S10" s="661">
        <v>0</v>
      </c>
      <c r="T10" s="661">
        <v>1092</v>
      </c>
      <c r="U10" s="661">
        <v>0</v>
      </c>
      <c r="V10" s="661">
        <v>0</v>
      </c>
      <c r="W10" s="661">
        <v>0</v>
      </c>
      <c r="X10" s="661">
        <v>0</v>
      </c>
      <c r="Y10" s="661">
        <v>0</v>
      </c>
      <c r="Z10" s="661">
        <v>0</v>
      </c>
      <c r="AA10" s="661"/>
      <c r="AB10" s="661">
        <v>0</v>
      </c>
      <c r="AC10" s="661">
        <v>0</v>
      </c>
      <c r="AD10" s="661">
        <v>0</v>
      </c>
      <c r="AE10" s="661">
        <v>0</v>
      </c>
      <c r="AF10" s="661">
        <v>0</v>
      </c>
    </row>
    <row r="11" spans="1:33">
      <c r="A11" s="661">
        <v>5</v>
      </c>
      <c r="B11" s="654" t="s">
        <v>829</v>
      </c>
      <c r="C11" s="661">
        <v>21</v>
      </c>
      <c r="D11" s="661">
        <v>2111</v>
      </c>
      <c r="E11" s="661">
        <v>0</v>
      </c>
      <c r="F11" s="661">
        <v>419</v>
      </c>
      <c r="G11" s="661">
        <v>0</v>
      </c>
      <c r="H11" s="661">
        <v>2551</v>
      </c>
      <c r="I11" s="661">
        <v>2572</v>
      </c>
      <c r="J11" s="661">
        <v>0</v>
      </c>
      <c r="K11" s="661">
        <v>0</v>
      </c>
      <c r="L11" s="661">
        <v>0</v>
      </c>
      <c r="M11" s="661">
        <v>0</v>
      </c>
      <c r="N11" s="661">
        <v>2572</v>
      </c>
      <c r="O11" s="661">
        <v>2572</v>
      </c>
      <c r="P11" s="661">
        <v>0</v>
      </c>
      <c r="Q11" s="661">
        <v>0</v>
      </c>
      <c r="R11" s="661">
        <v>0</v>
      </c>
      <c r="S11" s="661">
        <v>0</v>
      </c>
      <c r="T11" s="661">
        <v>2572</v>
      </c>
      <c r="U11" s="661">
        <v>0</v>
      </c>
      <c r="V11" s="661">
        <v>0</v>
      </c>
      <c r="W11" s="661">
        <v>0</v>
      </c>
      <c r="X11" s="661">
        <v>0</v>
      </c>
      <c r="Y11" s="661">
        <v>0</v>
      </c>
      <c r="Z11" s="661">
        <v>0</v>
      </c>
      <c r="AA11" s="661"/>
      <c r="AB11" s="661">
        <v>0</v>
      </c>
      <c r="AC11" s="661">
        <v>0</v>
      </c>
      <c r="AD11" s="661">
        <v>0</v>
      </c>
      <c r="AE11" s="661">
        <v>0</v>
      </c>
      <c r="AF11" s="661">
        <v>0</v>
      </c>
    </row>
    <row r="12" spans="1:33">
      <c r="A12" s="661">
        <v>6</v>
      </c>
      <c r="B12" s="654" t="s">
        <v>830</v>
      </c>
      <c r="C12" s="661">
        <v>5</v>
      </c>
      <c r="D12" s="661">
        <v>925</v>
      </c>
      <c r="E12" s="661">
        <v>0</v>
      </c>
      <c r="F12" s="661">
        <v>60</v>
      </c>
      <c r="G12" s="661">
        <v>0</v>
      </c>
      <c r="H12" s="661">
        <v>990</v>
      </c>
      <c r="I12" s="661">
        <v>1026</v>
      </c>
      <c r="J12" s="661">
        <v>0</v>
      </c>
      <c r="K12" s="661">
        <v>0</v>
      </c>
      <c r="L12" s="661">
        <v>0</v>
      </c>
      <c r="M12" s="661">
        <v>0</v>
      </c>
      <c r="N12" s="661">
        <v>1026</v>
      </c>
      <c r="O12" s="661">
        <v>1026</v>
      </c>
      <c r="P12" s="661">
        <v>0</v>
      </c>
      <c r="Q12" s="661">
        <v>0</v>
      </c>
      <c r="R12" s="661">
        <v>0</v>
      </c>
      <c r="S12" s="661">
        <v>0</v>
      </c>
      <c r="T12" s="661">
        <v>1026</v>
      </c>
      <c r="U12" s="661">
        <v>0</v>
      </c>
      <c r="V12" s="661">
        <v>0</v>
      </c>
      <c r="W12" s="661">
        <v>0</v>
      </c>
      <c r="X12" s="661">
        <v>0</v>
      </c>
      <c r="Y12" s="661">
        <v>0</v>
      </c>
      <c r="Z12" s="661">
        <v>0</v>
      </c>
      <c r="AA12" s="661"/>
      <c r="AB12" s="661">
        <v>0</v>
      </c>
      <c r="AC12" s="661">
        <v>0</v>
      </c>
      <c r="AD12" s="661">
        <v>0</v>
      </c>
      <c r="AE12" s="661">
        <v>0</v>
      </c>
      <c r="AF12" s="661">
        <v>0</v>
      </c>
    </row>
    <row r="13" spans="1:33">
      <c r="A13" s="661">
        <v>7</v>
      </c>
      <c r="B13" s="654" t="s">
        <v>831</v>
      </c>
      <c r="C13" s="661">
        <v>1</v>
      </c>
      <c r="D13" s="661">
        <v>690</v>
      </c>
      <c r="E13" s="661">
        <v>0</v>
      </c>
      <c r="F13" s="661">
        <v>9</v>
      </c>
      <c r="G13" s="661">
        <v>0</v>
      </c>
      <c r="H13" s="661">
        <v>700</v>
      </c>
      <c r="I13" s="661">
        <v>692</v>
      </c>
      <c r="J13" s="661">
        <v>0</v>
      </c>
      <c r="K13" s="661">
        <v>0</v>
      </c>
      <c r="L13" s="661">
        <v>0</v>
      </c>
      <c r="M13" s="661">
        <v>0</v>
      </c>
      <c r="N13" s="661">
        <v>692</v>
      </c>
      <c r="O13" s="661">
        <v>692</v>
      </c>
      <c r="P13" s="661">
        <v>0</v>
      </c>
      <c r="Q13" s="661">
        <v>0</v>
      </c>
      <c r="R13" s="661">
        <v>0</v>
      </c>
      <c r="S13" s="661">
        <v>0</v>
      </c>
      <c r="T13" s="661">
        <v>692</v>
      </c>
      <c r="U13" s="661">
        <v>0</v>
      </c>
      <c r="V13" s="661">
        <v>0</v>
      </c>
      <c r="W13" s="661">
        <v>0</v>
      </c>
      <c r="X13" s="661">
        <v>0</v>
      </c>
      <c r="Y13" s="661">
        <v>0</v>
      </c>
      <c r="Z13" s="661">
        <v>0</v>
      </c>
      <c r="AA13" s="661"/>
      <c r="AB13" s="661">
        <v>0</v>
      </c>
      <c r="AC13" s="661">
        <v>0</v>
      </c>
      <c r="AD13" s="661">
        <v>0</v>
      </c>
      <c r="AE13" s="661">
        <v>0</v>
      </c>
      <c r="AF13" s="661">
        <v>0</v>
      </c>
    </row>
    <row r="14" spans="1:33">
      <c r="A14" s="661">
        <v>8</v>
      </c>
      <c r="B14" s="654" t="s">
        <v>832</v>
      </c>
      <c r="C14" s="661">
        <v>0</v>
      </c>
      <c r="D14" s="661">
        <v>998</v>
      </c>
      <c r="E14" s="661">
        <v>0</v>
      </c>
      <c r="F14" s="661">
        <v>53</v>
      </c>
      <c r="G14" s="661">
        <v>0</v>
      </c>
      <c r="H14" s="661">
        <v>1051</v>
      </c>
      <c r="I14" s="661">
        <v>919</v>
      </c>
      <c r="J14" s="661">
        <v>0</v>
      </c>
      <c r="K14" s="661">
        <v>0</v>
      </c>
      <c r="L14" s="661">
        <v>0</v>
      </c>
      <c r="M14" s="661">
        <v>0</v>
      </c>
      <c r="N14" s="661">
        <v>919</v>
      </c>
      <c r="O14" s="661">
        <v>919</v>
      </c>
      <c r="P14" s="661">
        <v>0</v>
      </c>
      <c r="Q14" s="661">
        <v>0</v>
      </c>
      <c r="R14" s="661">
        <v>0</v>
      </c>
      <c r="S14" s="661">
        <v>0</v>
      </c>
      <c r="T14" s="661">
        <v>919</v>
      </c>
      <c r="U14" s="661">
        <v>0</v>
      </c>
      <c r="V14" s="661">
        <v>0</v>
      </c>
      <c r="W14" s="661">
        <v>0</v>
      </c>
      <c r="X14" s="661">
        <v>0</v>
      </c>
      <c r="Y14" s="661">
        <v>0</v>
      </c>
      <c r="Z14" s="661">
        <v>0</v>
      </c>
      <c r="AA14" s="661"/>
      <c r="AB14" s="661">
        <v>0</v>
      </c>
      <c r="AC14" s="661">
        <v>0</v>
      </c>
      <c r="AD14" s="661">
        <v>0</v>
      </c>
      <c r="AE14" s="661">
        <v>0</v>
      </c>
      <c r="AF14" s="661">
        <v>0</v>
      </c>
    </row>
    <row r="15" spans="1:33">
      <c r="A15" s="661">
        <v>9</v>
      </c>
      <c r="B15" s="654" t="s">
        <v>833</v>
      </c>
      <c r="C15" s="661">
        <v>24</v>
      </c>
      <c r="D15" s="661">
        <v>1706</v>
      </c>
      <c r="E15" s="661">
        <v>0</v>
      </c>
      <c r="F15" s="661">
        <v>61</v>
      </c>
      <c r="G15" s="661">
        <v>0</v>
      </c>
      <c r="H15" s="661">
        <v>1791</v>
      </c>
      <c r="I15" s="661">
        <v>1689</v>
      </c>
      <c r="J15" s="661">
        <v>0</v>
      </c>
      <c r="K15" s="661">
        <v>0</v>
      </c>
      <c r="L15" s="661">
        <v>0</v>
      </c>
      <c r="M15" s="661">
        <v>0</v>
      </c>
      <c r="N15" s="661">
        <v>1689</v>
      </c>
      <c r="O15" s="661">
        <v>1689</v>
      </c>
      <c r="P15" s="661">
        <v>0</v>
      </c>
      <c r="Q15" s="661">
        <v>0</v>
      </c>
      <c r="R15" s="661">
        <v>0</v>
      </c>
      <c r="S15" s="661">
        <v>0</v>
      </c>
      <c r="T15" s="661">
        <v>1689</v>
      </c>
      <c r="U15" s="661">
        <v>0</v>
      </c>
      <c r="V15" s="661">
        <v>0</v>
      </c>
      <c r="W15" s="661">
        <v>0</v>
      </c>
      <c r="X15" s="661">
        <v>0</v>
      </c>
      <c r="Y15" s="661">
        <v>0</v>
      </c>
      <c r="Z15" s="661">
        <v>0</v>
      </c>
      <c r="AA15" s="661"/>
      <c r="AB15" s="661">
        <v>0</v>
      </c>
      <c r="AC15" s="661">
        <v>0</v>
      </c>
      <c r="AD15" s="661">
        <v>0</v>
      </c>
      <c r="AE15" s="661">
        <v>0</v>
      </c>
      <c r="AF15" s="661">
        <v>0</v>
      </c>
    </row>
    <row r="16" spans="1:33">
      <c r="A16" s="661">
        <v>10</v>
      </c>
      <c r="B16" s="654" t="s">
        <v>834</v>
      </c>
      <c r="C16" s="661">
        <v>0</v>
      </c>
      <c r="D16" s="661">
        <v>378</v>
      </c>
      <c r="E16" s="661">
        <v>0</v>
      </c>
      <c r="F16" s="661">
        <v>54</v>
      </c>
      <c r="G16" s="661">
        <v>0</v>
      </c>
      <c r="H16" s="661">
        <v>432</v>
      </c>
      <c r="I16" s="661">
        <v>379</v>
      </c>
      <c r="J16" s="661">
        <v>0</v>
      </c>
      <c r="K16" s="661">
        <v>0</v>
      </c>
      <c r="L16" s="661">
        <v>0</v>
      </c>
      <c r="M16" s="661">
        <v>0</v>
      </c>
      <c r="N16" s="661">
        <v>379</v>
      </c>
      <c r="O16" s="661">
        <v>379</v>
      </c>
      <c r="P16" s="661">
        <v>0</v>
      </c>
      <c r="Q16" s="661">
        <v>0</v>
      </c>
      <c r="R16" s="661">
        <v>0</v>
      </c>
      <c r="S16" s="661">
        <v>0</v>
      </c>
      <c r="T16" s="661">
        <v>379</v>
      </c>
      <c r="U16" s="661">
        <v>0</v>
      </c>
      <c r="V16" s="661">
        <v>0</v>
      </c>
      <c r="W16" s="661">
        <v>0</v>
      </c>
      <c r="X16" s="661">
        <v>0</v>
      </c>
      <c r="Y16" s="661">
        <v>0</v>
      </c>
      <c r="Z16" s="661">
        <v>0</v>
      </c>
      <c r="AA16" s="661"/>
      <c r="AB16" s="661">
        <v>0</v>
      </c>
      <c r="AC16" s="661">
        <v>0</v>
      </c>
      <c r="AD16" s="661">
        <v>0</v>
      </c>
      <c r="AE16" s="661">
        <v>0</v>
      </c>
      <c r="AF16" s="661">
        <v>0</v>
      </c>
    </row>
    <row r="17" spans="1:32">
      <c r="A17" s="661">
        <v>11</v>
      </c>
      <c r="B17" s="654" t="s">
        <v>835</v>
      </c>
      <c r="C17" s="661">
        <v>4</v>
      </c>
      <c r="D17" s="661">
        <v>594</v>
      </c>
      <c r="E17" s="661">
        <v>0</v>
      </c>
      <c r="F17" s="661">
        <v>31</v>
      </c>
      <c r="G17" s="661">
        <v>0</v>
      </c>
      <c r="H17" s="661">
        <v>629</v>
      </c>
      <c r="I17" s="661">
        <v>653</v>
      </c>
      <c r="J17" s="661">
        <v>0</v>
      </c>
      <c r="K17" s="661">
        <v>0</v>
      </c>
      <c r="L17" s="661">
        <v>0</v>
      </c>
      <c r="M17" s="661">
        <v>0</v>
      </c>
      <c r="N17" s="661">
        <v>653</v>
      </c>
      <c r="O17" s="661">
        <v>653</v>
      </c>
      <c r="P17" s="661">
        <v>0</v>
      </c>
      <c r="Q17" s="661">
        <v>0</v>
      </c>
      <c r="R17" s="661">
        <v>0</v>
      </c>
      <c r="S17" s="661">
        <v>0</v>
      </c>
      <c r="T17" s="661">
        <v>653</v>
      </c>
      <c r="U17" s="661">
        <v>0</v>
      </c>
      <c r="V17" s="661">
        <v>0</v>
      </c>
      <c r="W17" s="661">
        <v>0</v>
      </c>
      <c r="X17" s="661">
        <v>0</v>
      </c>
      <c r="Y17" s="661">
        <v>0</v>
      </c>
      <c r="Z17" s="661">
        <v>0</v>
      </c>
      <c r="AA17" s="661"/>
      <c r="AB17" s="661">
        <v>0</v>
      </c>
      <c r="AC17" s="661">
        <v>0</v>
      </c>
      <c r="AD17" s="661">
        <v>0</v>
      </c>
      <c r="AE17" s="661">
        <v>0</v>
      </c>
      <c r="AF17" s="661">
        <v>0</v>
      </c>
    </row>
    <row r="18" spans="1:32">
      <c r="A18" s="661">
        <v>12</v>
      </c>
      <c r="B18" s="654" t="s">
        <v>836</v>
      </c>
      <c r="C18" s="661">
        <v>0</v>
      </c>
      <c r="D18" s="661">
        <v>1424</v>
      </c>
      <c r="E18" s="661">
        <v>0</v>
      </c>
      <c r="F18" s="661">
        <v>35</v>
      </c>
      <c r="G18" s="661">
        <v>0</v>
      </c>
      <c r="H18" s="661">
        <v>1459</v>
      </c>
      <c r="I18" s="661">
        <v>1266</v>
      </c>
      <c r="J18" s="661">
        <v>0</v>
      </c>
      <c r="K18" s="661">
        <v>0</v>
      </c>
      <c r="L18" s="661">
        <v>0</v>
      </c>
      <c r="M18" s="661">
        <v>0</v>
      </c>
      <c r="N18" s="661">
        <v>1266</v>
      </c>
      <c r="O18" s="661">
        <v>1266</v>
      </c>
      <c r="P18" s="661">
        <v>0</v>
      </c>
      <c r="Q18" s="661">
        <v>0</v>
      </c>
      <c r="R18" s="661">
        <v>0</v>
      </c>
      <c r="S18" s="661">
        <v>0</v>
      </c>
      <c r="T18" s="661">
        <v>1266</v>
      </c>
      <c r="U18" s="661">
        <v>0</v>
      </c>
      <c r="V18" s="661">
        <v>0</v>
      </c>
      <c r="W18" s="661">
        <v>0</v>
      </c>
      <c r="X18" s="661">
        <v>0</v>
      </c>
      <c r="Y18" s="661">
        <v>0</v>
      </c>
      <c r="Z18" s="661">
        <v>0</v>
      </c>
      <c r="AA18" s="661"/>
      <c r="AB18" s="661">
        <v>0</v>
      </c>
      <c r="AC18" s="661">
        <v>0</v>
      </c>
      <c r="AD18" s="661">
        <v>0</v>
      </c>
      <c r="AE18" s="661">
        <v>0</v>
      </c>
      <c r="AF18" s="661">
        <v>0</v>
      </c>
    </row>
    <row r="19" spans="1:32">
      <c r="A19" s="661">
        <v>13</v>
      </c>
      <c r="B19" s="654" t="s">
        <v>837</v>
      </c>
      <c r="C19" s="661">
        <v>12</v>
      </c>
      <c r="D19" s="661">
        <v>1637</v>
      </c>
      <c r="E19" s="661">
        <v>0</v>
      </c>
      <c r="F19" s="661">
        <v>85</v>
      </c>
      <c r="G19" s="661">
        <v>0</v>
      </c>
      <c r="H19" s="661">
        <v>1734</v>
      </c>
      <c r="I19" s="661">
        <v>1651</v>
      </c>
      <c r="J19" s="661">
        <v>0</v>
      </c>
      <c r="K19" s="661">
        <v>0</v>
      </c>
      <c r="L19" s="661">
        <v>0</v>
      </c>
      <c r="M19" s="661">
        <v>0</v>
      </c>
      <c r="N19" s="661">
        <v>1651</v>
      </c>
      <c r="O19" s="661">
        <v>1651</v>
      </c>
      <c r="P19" s="661">
        <v>0</v>
      </c>
      <c r="Q19" s="661">
        <v>0</v>
      </c>
      <c r="R19" s="661">
        <v>0</v>
      </c>
      <c r="S19" s="661">
        <v>0</v>
      </c>
      <c r="T19" s="661">
        <v>1651</v>
      </c>
      <c r="U19" s="661">
        <v>0</v>
      </c>
      <c r="V19" s="661">
        <v>0</v>
      </c>
      <c r="W19" s="661">
        <v>0</v>
      </c>
      <c r="X19" s="661">
        <v>0</v>
      </c>
      <c r="Y19" s="661">
        <v>0</v>
      </c>
      <c r="Z19" s="661">
        <v>0</v>
      </c>
      <c r="AA19" s="661"/>
      <c r="AB19" s="661">
        <v>0</v>
      </c>
      <c r="AC19" s="661">
        <v>0</v>
      </c>
      <c r="AD19" s="661">
        <v>0</v>
      </c>
      <c r="AE19" s="661">
        <v>0</v>
      </c>
      <c r="AF19" s="661">
        <v>0</v>
      </c>
    </row>
    <row r="20" spans="1:32">
      <c r="A20" s="661">
        <v>14</v>
      </c>
      <c r="B20" s="654" t="s">
        <v>838</v>
      </c>
      <c r="C20" s="661">
        <v>8</v>
      </c>
      <c r="D20" s="661">
        <v>754</v>
      </c>
      <c r="E20" s="661">
        <v>0</v>
      </c>
      <c r="F20" s="661">
        <v>32</v>
      </c>
      <c r="G20" s="661">
        <v>0</v>
      </c>
      <c r="H20" s="661">
        <v>794</v>
      </c>
      <c r="I20" s="661">
        <v>856</v>
      </c>
      <c r="J20" s="661">
        <v>0</v>
      </c>
      <c r="K20" s="661">
        <v>0</v>
      </c>
      <c r="L20" s="661">
        <v>0</v>
      </c>
      <c r="M20" s="661">
        <v>0</v>
      </c>
      <c r="N20" s="661">
        <v>856</v>
      </c>
      <c r="O20" s="661">
        <v>856</v>
      </c>
      <c r="P20" s="661">
        <v>0</v>
      </c>
      <c r="Q20" s="661">
        <v>0</v>
      </c>
      <c r="R20" s="661">
        <v>0</v>
      </c>
      <c r="S20" s="661">
        <v>0</v>
      </c>
      <c r="T20" s="661">
        <v>856</v>
      </c>
      <c r="U20" s="661">
        <v>0</v>
      </c>
      <c r="V20" s="661">
        <v>0</v>
      </c>
      <c r="W20" s="661">
        <v>0</v>
      </c>
      <c r="X20" s="661">
        <v>0</v>
      </c>
      <c r="Y20" s="661">
        <v>0</v>
      </c>
      <c r="Z20" s="661">
        <v>0</v>
      </c>
      <c r="AA20" s="661"/>
      <c r="AB20" s="661">
        <v>0</v>
      </c>
      <c r="AC20" s="661">
        <v>0</v>
      </c>
      <c r="AD20" s="661">
        <v>0</v>
      </c>
      <c r="AE20" s="661">
        <v>0</v>
      </c>
      <c r="AF20" s="661">
        <v>0</v>
      </c>
    </row>
    <row r="21" spans="1:32">
      <c r="A21" s="661">
        <v>15</v>
      </c>
      <c r="B21" s="654" t="s">
        <v>839</v>
      </c>
      <c r="C21" s="661">
        <v>0</v>
      </c>
      <c r="D21" s="661">
        <v>761</v>
      </c>
      <c r="E21" s="661">
        <v>0</v>
      </c>
      <c r="F21" s="661">
        <v>63</v>
      </c>
      <c r="G21" s="661">
        <v>0</v>
      </c>
      <c r="H21" s="661">
        <v>824</v>
      </c>
      <c r="I21" s="661">
        <v>642</v>
      </c>
      <c r="J21" s="661">
        <v>0</v>
      </c>
      <c r="K21" s="661">
        <v>0</v>
      </c>
      <c r="L21" s="661">
        <v>0</v>
      </c>
      <c r="M21" s="661">
        <v>0</v>
      </c>
      <c r="N21" s="661">
        <v>642</v>
      </c>
      <c r="O21" s="661">
        <v>642</v>
      </c>
      <c r="P21" s="661">
        <v>0</v>
      </c>
      <c r="Q21" s="661">
        <v>0</v>
      </c>
      <c r="R21" s="661">
        <v>0</v>
      </c>
      <c r="S21" s="661">
        <v>0</v>
      </c>
      <c r="T21" s="661">
        <v>642</v>
      </c>
      <c r="U21" s="661">
        <v>0</v>
      </c>
      <c r="V21" s="661">
        <v>0</v>
      </c>
      <c r="W21" s="661">
        <v>0</v>
      </c>
      <c r="X21" s="661">
        <v>0</v>
      </c>
      <c r="Y21" s="661">
        <v>0</v>
      </c>
      <c r="Z21" s="661">
        <v>0</v>
      </c>
      <c r="AA21" s="661"/>
      <c r="AB21" s="661">
        <v>0</v>
      </c>
      <c r="AC21" s="661">
        <v>0</v>
      </c>
      <c r="AD21" s="661">
        <v>0</v>
      </c>
      <c r="AE21" s="661">
        <v>0</v>
      </c>
      <c r="AF21" s="661">
        <v>0</v>
      </c>
    </row>
    <row r="22" spans="1:32">
      <c r="A22" s="661">
        <v>16</v>
      </c>
      <c r="B22" s="654" t="s">
        <v>840</v>
      </c>
      <c r="C22" s="661">
        <v>0</v>
      </c>
      <c r="D22" s="661">
        <v>326</v>
      </c>
      <c r="E22" s="661">
        <v>0</v>
      </c>
      <c r="F22" s="661">
        <v>9</v>
      </c>
      <c r="G22" s="661">
        <v>0</v>
      </c>
      <c r="H22" s="661">
        <v>335</v>
      </c>
      <c r="I22" s="661">
        <v>316</v>
      </c>
      <c r="J22" s="661">
        <v>0</v>
      </c>
      <c r="K22" s="661">
        <v>0</v>
      </c>
      <c r="L22" s="661">
        <v>0</v>
      </c>
      <c r="M22" s="661">
        <v>0</v>
      </c>
      <c r="N22" s="661">
        <v>316</v>
      </c>
      <c r="O22" s="661">
        <v>316</v>
      </c>
      <c r="P22" s="661">
        <v>0</v>
      </c>
      <c r="Q22" s="661">
        <v>0</v>
      </c>
      <c r="R22" s="661">
        <v>0</v>
      </c>
      <c r="S22" s="661">
        <v>0</v>
      </c>
      <c r="T22" s="661">
        <v>316</v>
      </c>
      <c r="U22" s="661">
        <v>0</v>
      </c>
      <c r="V22" s="661">
        <v>0</v>
      </c>
      <c r="W22" s="661">
        <v>0</v>
      </c>
      <c r="X22" s="661">
        <v>0</v>
      </c>
      <c r="Y22" s="661">
        <v>0</v>
      </c>
      <c r="Z22" s="661">
        <v>0</v>
      </c>
      <c r="AA22" s="661"/>
      <c r="AB22" s="661">
        <v>0</v>
      </c>
      <c r="AC22" s="661">
        <v>0</v>
      </c>
      <c r="AD22" s="661">
        <v>0</v>
      </c>
      <c r="AE22" s="661">
        <v>0</v>
      </c>
      <c r="AF22" s="661">
        <v>0</v>
      </c>
    </row>
    <row r="23" spans="1:32">
      <c r="A23" s="661">
        <v>17</v>
      </c>
      <c r="B23" s="654" t="s">
        <v>841</v>
      </c>
      <c r="C23" s="661">
        <v>0</v>
      </c>
      <c r="D23" s="661">
        <v>1052</v>
      </c>
      <c r="E23" s="661">
        <v>0</v>
      </c>
      <c r="F23" s="661">
        <v>50</v>
      </c>
      <c r="G23" s="661">
        <v>0</v>
      </c>
      <c r="H23" s="661">
        <v>1102</v>
      </c>
      <c r="I23" s="661">
        <v>1052</v>
      </c>
      <c r="J23" s="661">
        <v>0</v>
      </c>
      <c r="K23" s="661">
        <v>0</v>
      </c>
      <c r="L23" s="661">
        <v>0</v>
      </c>
      <c r="M23" s="661">
        <v>0</v>
      </c>
      <c r="N23" s="661">
        <v>1052</v>
      </c>
      <c r="O23" s="661">
        <v>1052</v>
      </c>
      <c r="P23" s="661">
        <v>0</v>
      </c>
      <c r="Q23" s="661">
        <v>0</v>
      </c>
      <c r="R23" s="661">
        <v>0</v>
      </c>
      <c r="S23" s="661">
        <v>0</v>
      </c>
      <c r="T23" s="661">
        <v>1052</v>
      </c>
      <c r="U23" s="661">
        <v>0</v>
      </c>
      <c r="V23" s="661">
        <v>0</v>
      </c>
      <c r="W23" s="661">
        <v>0</v>
      </c>
      <c r="X23" s="661">
        <v>0</v>
      </c>
      <c r="Y23" s="661">
        <v>0</v>
      </c>
      <c r="Z23" s="661">
        <v>0</v>
      </c>
      <c r="AA23" s="661"/>
      <c r="AB23" s="661">
        <v>0</v>
      </c>
      <c r="AC23" s="661">
        <v>0</v>
      </c>
      <c r="AD23" s="661">
        <v>0</v>
      </c>
      <c r="AE23" s="661">
        <v>0</v>
      </c>
      <c r="AF23" s="661">
        <v>0</v>
      </c>
    </row>
    <row r="24" spans="1:32">
      <c r="A24" s="661">
        <v>18</v>
      </c>
      <c r="B24" s="654" t="s">
        <v>842</v>
      </c>
      <c r="C24" s="661">
        <v>12</v>
      </c>
      <c r="D24" s="661">
        <v>798</v>
      </c>
      <c r="E24" s="661">
        <v>0</v>
      </c>
      <c r="F24" s="661">
        <v>45</v>
      </c>
      <c r="G24" s="661">
        <v>0</v>
      </c>
      <c r="H24" s="661">
        <v>855</v>
      </c>
      <c r="I24" s="661">
        <v>810</v>
      </c>
      <c r="J24" s="661">
        <v>0</v>
      </c>
      <c r="K24" s="661">
        <v>0</v>
      </c>
      <c r="L24" s="661">
        <v>0</v>
      </c>
      <c r="M24" s="661">
        <v>0</v>
      </c>
      <c r="N24" s="661">
        <v>810</v>
      </c>
      <c r="O24" s="661">
        <v>810</v>
      </c>
      <c r="P24" s="661">
        <v>0</v>
      </c>
      <c r="Q24" s="661">
        <v>0</v>
      </c>
      <c r="R24" s="661">
        <v>0</v>
      </c>
      <c r="S24" s="661">
        <v>0</v>
      </c>
      <c r="T24" s="661">
        <v>810</v>
      </c>
      <c r="U24" s="661">
        <v>0</v>
      </c>
      <c r="V24" s="661">
        <v>0</v>
      </c>
      <c r="W24" s="661">
        <v>0</v>
      </c>
      <c r="X24" s="661">
        <v>0</v>
      </c>
      <c r="Y24" s="661">
        <v>0</v>
      </c>
      <c r="Z24" s="661">
        <v>0</v>
      </c>
      <c r="AA24" s="661"/>
      <c r="AB24" s="661">
        <v>0</v>
      </c>
      <c r="AC24" s="661">
        <v>0</v>
      </c>
      <c r="AD24" s="661">
        <v>0</v>
      </c>
      <c r="AE24" s="661">
        <v>0</v>
      </c>
      <c r="AF24" s="661">
        <v>0</v>
      </c>
    </row>
    <row r="25" spans="1:32">
      <c r="A25" s="661">
        <v>19</v>
      </c>
      <c r="B25" s="654" t="s">
        <v>843</v>
      </c>
      <c r="C25" s="661">
        <v>0</v>
      </c>
      <c r="D25" s="661">
        <v>977</v>
      </c>
      <c r="E25" s="661">
        <v>0</v>
      </c>
      <c r="F25" s="661">
        <v>60</v>
      </c>
      <c r="G25" s="661">
        <v>0</v>
      </c>
      <c r="H25" s="661">
        <v>1037</v>
      </c>
      <c r="I25" s="661">
        <v>815</v>
      </c>
      <c r="J25" s="661">
        <v>0</v>
      </c>
      <c r="K25" s="661">
        <v>0</v>
      </c>
      <c r="L25" s="661">
        <v>0</v>
      </c>
      <c r="M25" s="661">
        <v>0</v>
      </c>
      <c r="N25" s="661">
        <v>815</v>
      </c>
      <c r="O25" s="661">
        <v>815</v>
      </c>
      <c r="P25" s="661">
        <v>0</v>
      </c>
      <c r="Q25" s="661">
        <v>0</v>
      </c>
      <c r="R25" s="661">
        <v>0</v>
      </c>
      <c r="S25" s="661">
        <v>0</v>
      </c>
      <c r="T25" s="661">
        <v>815</v>
      </c>
      <c r="U25" s="661">
        <v>0</v>
      </c>
      <c r="V25" s="661">
        <v>0</v>
      </c>
      <c r="W25" s="661">
        <v>0</v>
      </c>
      <c r="X25" s="661">
        <v>0</v>
      </c>
      <c r="Y25" s="661">
        <v>0</v>
      </c>
      <c r="Z25" s="661">
        <v>0</v>
      </c>
      <c r="AA25" s="661"/>
      <c r="AB25" s="661">
        <v>0</v>
      </c>
      <c r="AC25" s="661">
        <v>0</v>
      </c>
      <c r="AD25" s="661">
        <v>0</v>
      </c>
      <c r="AE25" s="661">
        <v>0</v>
      </c>
      <c r="AF25" s="661">
        <v>0</v>
      </c>
    </row>
    <row r="26" spans="1:32">
      <c r="A26" s="661">
        <v>20</v>
      </c>
      <c r="B26" s="654" t="s">
        <v>844</v>
      </c>
      <c r="C26" s="661">
        <v>43</v>
      </c>
      <c r="D26" s="661">
        <v>1201</v>
      </c>
      <c r="E26" s="661">
        <v>0</v>
      </c>
      <c r="F26" s="661">
        <v>73</v>
      </c>
      <c r="G26" s="661">
        <v>0</v>
      </c>
      <c r="H26" s="661">
        <v>1317</v>
      </c>
      <c r="I26" s="661">
        <v>1443</v>
      </c>
      <c r="J26" s="661">
        <v>0</v>
      </c>
      <c r="K26" s="661">
        <v>0</v>
      </c>
      <c r="L26" s="661">
        <v>0</v>
      </c>
      <c r="M26" s="661">
        <v>0</v>
      </c>
      <c r="N26" s="661">
        <v>1443</v>
      </c>
      <c r="O26" s="661">
        <v>1443</v>
      </c>
      <c r="P26" s="661">
        <v>0</v>
      </c>
      <c r="Q26" s="661">
        <v>0</v>
      </c>
      <c r="R26" s="661">
        <v>0</v>
      </c>
      <c r="S26" s="661">
        <v>0</v>
      </c>
      <c r="T26" s="661">
        <v>1443</v>
      </c>
      <c r="U26" s="661">
        <v>0</v>
      </c>
      <c r="V26" s="661">
        <v>0</v>
      </c>
      <c r="W26" s="661">
        <v>0</v>
      </c>
      <c r="X26" s="661">
        <v>0</v>
      </c>
      <c r="Y26" s="661">
        <v>0</v>
      </c>
      <c r="Z26" s="661">
        <v>0</v>
      </c>
      <c r="AA26" s="661"/>
      <c r="AB26" s="661">
        <v>0</v>
      </c>
      <c r="AC26" s="661">
        <v>0</v>
      </c>
      <c r="AD26" s="661">
        <v>0</v>
      </c>
      <c r="AE26" s="661">
        <v>0</v>
      </c>
      <c r="AF26" s="661">
        <v>0</v>
      </c>
    </row>
    <row r="27" spans="1:32">
      <c r="A27" s="661">
        <v>21</v>
      </c>
      <c r="B27" s="654" t="s">
        <v>845</v>
      </c>
      <c r="C27" s="661">
        <v>34</v>
      </c>
      <c r="D27" s="661">
        <v>1283</v>
      </c>
      <c r="E27" s="661">
        <v>0</v>
      </c>
      <c r="F27" s="661">
        <v>53</v>
      </c>
      <c r="G27" s="661">
        <v>2</v>
      </c>
      <c r="H27" s="661">
        <v>1372</v>
      </c>
      <c r="I27" s="661">
        <v>1666</v>
      </c>
      <c r="J27" s="661">
        <v>0</v>
      </c>
      <c r="K27" s="661">
        <v>0</v>
      </c>
      <c r="L27" s="661">
        <v>0</v>
      </c>
      <c r="M27" s="661">
        <v>0</v>
      </c>
      <c r="N27" s="661">
        <v>1666</v>
      </c>
      <c r="O27" s="661">
        <v>1666</v>
      </c>
      <c r="P27" s="661">
        <v>0</v>
      </c>
      <c r="Q27" s="661">
        <v>0</v>
      </c>
      <c r="R27" s="661">
        <v>0</v>
      </c>
      <c r="S27" s="661">
        <v>0</v>
      </c>
      <c r="T27" s="661">
        <v>1666</v>
      </c>
      <c r="U27" s="661">
        <v>0</v>
      </c>
      <c r="V27" s="661">
        <v>0</v>
      </c>
      <c r="W27" s="661">
        <v>0</v>
      </c>
      <c r="X27" s="661">
        <v>0</v>
      </c>
      <c r="Y27" s="661">
        <v>0</v>
      </c>
      <c r="Z27" s="661">
        <v>0</v>
      </c>
      <c r="AA27" s="661"/>
      <c r="AB27" s="661">
        <v>0</v>
      </c>
      <c r="AC27" s="661">
        <v>0</v>
      </c>
      <c r="AD27" s="661">
        <v>0</v>
      </c>
      <c r="AE27" s="661">
        <v>0</v>
      </c>
      <c r="AF27" s="661">
        <v>0</v>
      </c>
    </row>
    <row r="28" spans="1:32">
      <c r="A28" s="661">
        <v>22</v>
      </c>
      <c r="B28" s="654" t="s">
        <v>846</v>
      </c>
      <c r="C28" s="661">
        <v>3</v>
      </c>
      <c r="D28" s="661">
        <v>867</v>
      </c>
      <c r="E28" s="661">
        <v>0</v>
      </c>
      <c r="F28" s="661">
        <v>40</v>
      </c>
      <c r="G28" s="661">
        <v>0</v>
      </c>
      <c r="H28" s="661">
        <v>910</v>
      </c>
      <c r="I28" s="661">
        <v>978</v>
      </c>
      <c r="J28" s="661">
        <v>0</v>
      </c>
      <c r="K28" s="661">
        <v>0</v>
      </c>
      <c r="L28" s="661">
        <v>0</v>
      </c>
      <c r="M28" s="661">
        <v>0</v>
      </c>
      <c r="N28" s="661">
        <v>978</v>
      </c>
      <c r="O28" s="661">
        <v>978</v>
      </c>
      <c r="P28" s="661">
        <v>0</v>
      </c>
      <c r="Q28" s="661">
        <v>0</v>
      </c>
      <c r="R28" s="661">
        <v>0</v>
      </c>
      <c r="S28" s="661">
        <v>0</v>
      </c>
      <c r="T28" s="661">
        <v>978</v>
      </c>
      <c r="U28" s="661">
        <v>0</v>
      </c>
      <c r="V28" s="661">
        <v>0</v>
      </c>
      <c r="W28" s="661">
        <v>0</v>
      </c>
      <c r="X28" s="661">
        <v>0</v>
      </c>
      <c r="Y28" s="661">
        <v>0</v>
      </c>
      <c r="Z28" s="661">
        <v>0</v>
      </c>
      <c r="AA28" s="661"/>
      <c r="AB28" s="661">
        <v>0</v>
      </c>
      <c r="AC28" s="661">
        <v>0</v>
      </c>
      <c r="AD28" s="661">
        <v>0</v>
      </c>
      <c r="AE28" s="661">
        <v>0</v>
      </c>
      <c r="AF28" s="661">
        <v>0</v>
      </c>
    </row>
    <row r="29" spans="1:32">
      <c r="A29" s="661">
        <v>23</v>
      </c>
      <c r="B29" s="654" t="s">
        <v>847</v>
      </c>
      <c r="C29" s="661">
        <v>46</v>
      </c>
      <c r="D29" s="661">
        <v>1164</v>
      </c>
      <c r="E29" s="661">
        <v>0</v>
      </c>
      <c r="F29" s="661">
        <v>34</v>
      </c>
      <c r="G29" s="661">
        <v>0</v>
      </c>
      <c r="H29" s="661">
        <v>1244</v>
      </c>
      <c r="I29" s="661">
        <v>1005</v>
      </c>
      <c r="J29" s="661">
        <v>0</v>
      </c>
      <c r="K29" s="661">
        <v>0</v>
      </c>
      <c r="L29" s="661">
        <v>0</v>
      </c>
      <c r="M29" s="661">
        <v>0</v>
      </c>
      <c r="N29" s="661">
        <v>1005</v>
      </c>
      <c r="O29" s="661">
        <v>1005</v>
      </c>
      <c r="P29" s="661">
        <v>0</v>
      </c>
      <c r="Q29" s="661">
        <v>0</v>
      </c>
      <c r="R29" s="661">
        <v>0</v>
      </c>
      <c r="S29" s="661">
        <v>0</v>
      </c>
      <c r="T29" s="661">
        <v>1005</v>
      </c>
      <c r="U29" s="661">
        <v>0</v>
      </c>
      <c r="V29" s="661">
        <v>0</v>
      </c>
      <c r="W29" s="661">
        <v>0</v>
      </c>
      <c r="X29" s="661">
        <v>0</v>
      </c>
      <c r="Y29" s="661">
        <v>0</v>
      </c>
      <c r="Z29" s="661">
        <v>0</v>
      </c>
      <c r="AA29" s="661"/>
      <c r="AB29" s="661">
        <v>0</v>
      </c>
      <c r="AC29" s="661">
        <v>0</v>
      </c>
      <c r="AD29" s="661">
        <v>0</v>
      </c>
      <c r="AE29" s="661">
        <v>0</v>
      </c>
      <c r="AF29" s="661">
        <v>0</v>
      </c>
    </row>
    <row r="30" spans="1:32">
      <c r="A30" s="661">
        <v>24</v>
      </c>
      <c r="B30" s="654" t="s">
        <v>848</v>
      </c>
      <c r="C30" s="661">
        <v>0</v>
      </c>
      <c r="D30" s="661">
        <v>996</v>
      </c>
      <c r="E30" s="661">
        <v>0</v>
      </c>
      <c r="F30" s="661">
        <v>12</v>
      </c>
      <c r="G30" s="661">
        <v>0</v>
      </c>
      <c r="H30" s="661">
        <v>1008</v>
      </c>
      <c r="I30" s="661">
        <v>997</v>
      </c>
      <c r="J30" s="661">
        <v>0</v>
      </c>
      <c r="K30" s="661">
        <v>0</v>
      </c>
      <c r="L30" s="661">
        <v>0</v>
      </c>
      <c r="M30" s="661">
        <v>0</v>
      </c>
      <c r="N30" s="661">
        <v>997</v>
      </c>
      <c r="O30" s="661">
        <v>997</v>
      </c>
      <c r="P30" s="661">
        <v>0</v>
      </c>
      <c r="Q30" s="661">
        <v>0</v>
      </c>
      <c r="R30" s="661">
        <v>0</v>
      </c>
      <c r="S30" s="661">
        <v>0</v>
      </c>
      <c r="T30" s="661">
        <v>997</v>
      </c>
      <c r="U30" s="661">
        <v>0</v>
      </c>
      <c r="V30" s="661">
        <v>0</v>
      </c>
      <c r="W30" s="661">
        <v>0</v>
      </c>
      <c r="X30" s="661">
        <v>0</v>
      </c>
      <c r="Y30" s="661">
        <v>0</v>
      </c>
      <c r="Z30" s="661">
        <v>0</v>
      </c>
      <c r="AA30" s="661"/>
      <c r="AB30" s="661">
        <v>0</v>
      </c>
      <c r="AC30" s="661">
        <v>0</v>
      </c>
      <c r="AD30" s="661">
        <v>0</v>
      </c>
      <c r="AE30" s="661">
        <v>0</v>
      </c>
      <c r="AF30" s="661">
        <v>0</v>
      </c>
    </row>
    <row r="31" spans="1:32">
      <c r="A31" s="661">
        <v>25</v>
      </c>
      <c r="B31" s="654" t="s">
        <v>849</v>
      </c>
      <c r="C31" s="661">
        <v>4</v>
      </c>
      <c r="D31" s="661">
        <v>746</v>
      </c>
      <c r="E31" s="661">
        <v>0</v>
      </c>
      <c r="F31" s="661">
        <v>21</v>
      </c>
      <c r="G31" s="661">
        <v>0</v>
      </c>
      <c r="H31" s="661">
        <v>771</v>
      </c>
      <c r="I31" s="661">
        <v>501</v>
      </c>
      <c r="J31" s="661">
        <v>0</v>
      </c>
      <c r="K31" s="661">
        <v>0</v>
      </c>
      <c r="L31" s="661">
        <v>0</v>
      </c>
      <c r="M31" s="661">
        <v>0</v>
      </c>
      <c r="N31" s="661">
        <v>501</v>
      </c>
      <c r="O31" s="661">
        <v>501</v>
      </c>
      <c r="P31" s="661">
        <v>0</v>
      </c>
      <c r="Q31" s="661">
        <v>0</v>
      </c>
      <c r="R31" s="661">
        <v>0</v>
      </c>
      <c r="S31" s="661">
        <v>0</v>
      </c>
      <c r="T31" s="661">
        <v>501</v>
      </c>
      <c r="U31" s="661">
        <v>0</v>
      </c>
      <c r="V31" s="661">
        <v>0</v>
      </c>
      <c r="W31" s="661">
        <v>0</v>
      </c>
      <c r="X31" s="661">
        <v>0</v>
      </c>
      <c r="Y31" s="661">
        <v>0</v>
      </c>
      <c r="Z31" s="661">
        <v>0</v>
      </c>
      <c r="AA31" s="661"/>
      <c r="AB31" s="661">
        <v>0</v>
      </c>
      <c r="AC31" s="661">
        <v>0</v>
      </c>
      <c r="AD31" s="661">
        <v>0</v>
      </c>
      <c r="AE31" s="661">
        <v>0</v>
      </c>
      <c r="AF31" s="661">
        <v>0</v>
      </c>
    </row>
    <row r="32" spans="1:32">
      <c r="A32" s="661">
        <v>26</v>
      </c>
      <c r="B32" s="654" t="s">
        <v>850</v>
      </c>
      <c r="C32" s="661">
        <v>4</v>
      </c>
      <c r="D32" s="661">
        <v>800</v>
      </c>
      <c r="E32" s="661">
        <v>0</v>
      </c>
      <c r="F32" s="661">
        <v>15</v>
      </c>
      <c r="G32" s="661">
        <v>0</v>
      </c>
      <c r="H32" s="661">
        <v>819</v>
      </c>
      <c r="I32" s="661">
        <v>805</v>
      </c>
      <c r="J32" s="661">
        <v>0</v>
      </c>
      <c r="K32" s="661">
        <v>0</v>
      </c>
      <c r="L32" s="661">
        <v>0</v>
      </c>
      <c r="M32" s="661">
        <v>0</v>
      </c>
      <c r="N32" s="661">
        <v>805</v>
      </c>
      <c r="O32" s="661">
        <v>805</v>
      </c>
      <c r="P32" s="661">
        <v>0</v>
      </c>
      <c r="Q32" s="661">
        <v>0</v>
      </c>
      <c r="R32" s="661">
        <v>0</v>
      </c>
      <c r="S32" s="661">
        <v>0</v>
      </c>
      <c r="T32" s="661">
        <v>805</v>
      </c>
      <c r="U32" s="661">
        <v>0</v>
      </c>
      <c r="V32" s="661">
        <v>0</v>
      </c>
      <c r="W32" s="661">
        <v>0</v>
      </c>
      <c r="X32" s="661">
        <v>0</v>
      </c>
      <c r="Y32" s="661">
        <v>0</v>
      </c>
      <c r="Z32" s="661">
        <v>0</v>
      </c>
      <c r="AA32" s="661"/>
      <c r="AB32" s="661">
        <v>0</v>
      </c>
      <c r="AC32" s="661">
        <v>0</v>
      </c>
      <c r="AD32" s="661">
        <v>0</v>
      </c>
      <c r="AE32" s="661">
        <v>0</v>
      </c>
      <c r="AF32" s="661">
        <v>0</v>
      </c>
    </row>
    <row r="33" spans="1:32">
      <c r="A33" s="661">
        <v>27</v>
      </c>
      <c r="B33" s="654" t="s">
        <v>851</v>
      </c>
      <c r="C33" s="661">
        <v>0</v>
      </c>
      <c r="D33" s="661">
        <v>1261</v>
      </c>
      <c r="E33" s="661">
        <v>0</v>
      </c>
      <c r="F33" s="661">
        <v>20</v>
      </c>
      <c r="G33" s="661">
        <v>0</v>
      </c>
      <c r="H33" s="661">
        <v>1281</v>
      </c>
      <c r="I33" s="661">
        <v>1070</v>
      </c>
      <c r="J33" s="661">
        <v>0</v>
      </c>
      <c r="K33" s="661">
        <v>0</v>
      </c>
      <c r="L33" s="661">
        <v>0</v>
      </c>
      <c r="M33" s="661">
        <v>0</v>
      </c>
      <c r="N33" s="661">
        <v>1070</v>
      </c>
      <c r="O33" s="661">
        <v>1070</v>
      </c>
      <c r="P33" s="661">
        <v>0</v>
      </c>
      <c r="Q33" s="661">
        <v>0</v>
      </c>
      <c r="R33" s="661">
        <v>0</v>
      </c>
      <c r="S33" s="661">
        <v>0</v>
      </c>
      <c r="T33" s="661">
        <v>1070</v>
      </c>
      <c r="U33" s="661">
        <v>0</v>
      </c>
      <c r="V33" s="661">
        <v>0</v>
      </c>
      <c r="W33" s="661">
        <v>0</v>
      </c>
      <c r="X33" s="661">
        <v>0</v>
      </c>
      <c r="Y33" s="661">
        <v>0</v>
      </c>
      <c r="Z33" s="661">
        <v>0</v>
      </c>
      <c r="AA33" s="661"/>
      <c r="AB33" s="661">
        <v>0</v>
      </c>
      <c r="AC33" s="661">
        <v>0</v>
      </c>
      <c r="AD33" s="661">
        <v>0</v>
      </c>
      <c r="AE33" s="661">
        <v>0</v>
      </c>
      <c r="AF33" s="661">
        <v>0</v>
      </c>
    </row>
    <row r="34" spans="1:32">
      <c r="A34" s="661">
        <v>28</v>
      </c>
      <c r="B34" s="654" t="s">
        <v>852</v>
      </c>
      <c r="C34" s="661">
        <v>0</v>
      </c>
      <c r="D34" s="661">
        <v>252</v>
      </c>
      <c r="E34" s="661">
        <v>0</v>
      </c>
      <c r="F34" s="661">
        <v>9</v>
      </c>
      <c r="G34" s="661">
        <v>0</v>
      </c>
      <c r="H34" s="661">
        <v>261</v>
      </c>
      <c r="I34" s="661">
        <v>256</v>
      </c>
      <c r="J34" s="661">
        <v>0</v>
      </c>
      <c r="K34" s="661">
        <v>0</v>
      </c>
      <c r="L34" s="661">
        <v>0</v>
      </c>
      <c r="M34" s="661">
        <v>0</v>
      </c>
      <c r="N34" s="661">
        <v>256</v>
      </c>
      <c r="O34" s="661">
        <v>256</v>
      </c>
      <c r="P34" s="661">
        <v>0</v>
      </c>
      <c r="Q34" s="661">
        <v>0</v>
      </c>
      <c r="R34" s="661">
        <v>0</v>
      </c>
      <c r="S34" s="661">
        <v>0</v>
      </c>
      <c r="T34" s="661">
        <v>256</v>
      </c>
      <c r="U34" s="661">
        <v>0</v>
      </c>
      <c r="V34" s="661">
        <v>0</v>
      </c>
      <c r="W34" s="661">
        <v>0</v>
      </c>
      <c r="X34" s="661">
        <v>0</v>
      </c>
      <c r="Y34" s="661">
        <v>0</v>
      </c>
      <c r="Z34" s="661">
        <v>0</v>
      </c>
      <c r="AA34" s="661"/>
      <c r="AB34" s="661">
        <v>0</v>
      </c>
      <c r="AC34" s="661">
        <v>0</v>
      </c>
      <c r="AD34" s="661">
        <v>0</v>
      </c>
      <c r="AE34" s="661">
        <v>0</v>
      </c>
      <c r="AF34" s="661">
        <v>0</v>
      </c>
    </row>
    <row r="35" spans="1:32">
      <c r="A35" s="661">
        <v>29</v>
      </c>
      <c r="B35" s="654" t="s">
        <v>1041</v>
      </c>
      <c r="C35" s="661">
        <v>0</v>
      </c>
      <c r="D35" s="661">
        <v>1259</v>
      </c>
      <c r="E35" s="661">
        <v>0</v>
      </c>
      <c r="F35" s="661">
        <v>34</v>
      </c>
      <c r="G35" s="661">
        <v>0</v>
      </c>
      <c r="H35" s="661">
        <v>1293</v>
      </c>
      <c r="I35" s="661">
        <v>1472</v>
      </c>
      <c r="J35" s="661">
        <v>0</v>
      </c>
      <c r="K35" s="661">
        <v>0</v>
      </c>
      <c r="L35" s="661">
        <v>0</v>
      </c>
      <c r="M35" s="661">
        <v>0</v>
      </c>
      <c r="N35" s="661">
        <v>1472</v>
      </c>
      <c r="O35" s="661">
        <v>1472</v>
      </c>
      <c r="P35" s="661">
        <v>0</v>
      </c>
      <c r="Q35" s="661">
        <v>0</v>
      </c>
      <c r="R35" s="661">
        <v>0</v>
      </c>
      <c r="S35" s="661">
        <v>0</v>
      </c>
      <c r="T35" s="661">
        <v>1472</v>
      </c>
      <c r="U35" s="661">
        <v>0</v>
      </c>
      <c r="V35" s="661">
        <v>0</v>
      </c>
      <c r="W35" s="661">
        <v>0</v>
      </c>
      <c r="X35" s="661">
        <v>0</v>
      </c>
      <c r="Y35" s="661">
        <v>0</v>
      </c>
      <c r="Z35" s="661">
        <v>0</v>
      </c>
      <c r="AA35" s="661"/>
      <c r="AB35" s="661">
        <v>0</v>
      </c>
      <c r="AC35" s="661">
        <v>0</v>
      </c>
      <c r="AD35" s="661">
        <v>0</v>
      </c>
      <c r="AE35" s="661">
        <v>0</v>
      </c>
      <c r="AF35" s="661">
        <v>0</v>
      </c>
    </row>
    <row r="36" spans="1:32">
      <c r="A36" s="661">
        <v>30</v>
      </c>
      <c r="B36" s="654" t="s">
        <v>1042</v>
      </c>
      <c r="C36" s="661">
        <v>0</v>
      </c>
      <c r="D36" s="661">
        <v>646</v>
      </c>
      <c r="E36" s="661">
        <v>0</v>
      </c>
      <c r="F36" s="661">
        <v>15</v>
      </c>
      <c r="G36" s="661">
        <v>0</v>
      </c>
      <c r="H36" s="661">
        <v>661</v>
      </c>
      <c r="I36" s="661">
        <v>611</v>
      </c>
      <c r="J36" s="661">
        <v>0</v>
      </c>
      <c r="K36" s="661">
        <v>0</v>
      </c>
      <c r="L36" s="661">
        <v>0</v>
      </c>
      <c r="M36" s="661">
        <v>0</v>
      </c>
      <c r="N36" s="661">
        <v>611</v>
      </c>
      <c r="O36" s="661">
        <v>611</v>
      </c>
      <c r="P36" s="661">
        <v>0</v>
      </c>
      <c r="Q36" s="661">
        <v>0</v>
      </c>
      <c r="R36" s="661">
        <v>0</v>
      </c>
      <c r="S36" s="661">
        <v>0</v>
      </c>
      <c r="T36" s="661">
        <v>611</v>
      </c>
      <c r="U36" s="661">
        <v>0</v>
      </c>
      <c r="V36" s="661">
        <v>0</v>
      </c>
      <c r="W36" s="661">
        <v>0</v>
      </c>
      <c r="X36" s="661">
        <v>0</v>
      </c>
      <c r="Y36" s="661">
        <v>0</v>
      </c>
      <c r="Z36" s="661">
        <v>0</v>
      </c>
      <c r="AA36" s="661"/>
      <c r="AB36" s="661">
        <v>0</v>
      </c>
      <c r="AC36" s="661">
        <v>0</v>
      </c>
      <c r="AD36" s="661">
        <v>0</v>
      </c>
      <c r="AE36" s="661">
        <v>0</v>
      </c>
      <c r="AF36" s="661">
        <v>0</v>
      </c>
    </row>
    <row r="37" spans="1:32">
      <c r="A37" s="661">
        <v>31</v>
      </c>
      <c r="B37" s="654" t="s">
        <v>1043</v>
      </c>
      <c r="C37" s="661">
        <v>0</v>
      </c>
      <c r="D37" s="661">
        <v>557</v>
      </c>
      <c r="E37" s="661">
        <v>0</v>
      </c>
      <c r="F37" s="661">
        <v>37</v>
      </c>
      <c r="G37" s="661">
        <v>0</v>
      </c>
      <c r="H37" s="661">
        <v>594</v>
      </c>
      <c r="I37" s="661">
        <v>685</v>
      </c>
      <c r="J37" s="661">
        <v>0</v>
      </c>
      <c r="K37" s="661">
        <v>0</v>
      </c>
      <c r="L37" s="661">
        <v>0</v>
      </c>
      <c r="M37" s="661">
        <v>0</v>
      </c>
      <c r="N37" s="661">
        <v>685</v>
      </c>
      <c r="O37" s="661">
        <v>685</v>
      </c>
      <c r="P37" s="661">
        <v>0</v>
      </c>
      <c r="Q37" s="661">
        <v>0</v>
      </c>
      <c r="R37" s="661">
        <v>0</v>
      </c>
      <c r="S37" s="661">
        <v>0</v>
      </c>
      <c r="T37" s="661">
        <v>685</v>
      </c>
      <c r="U37" s="661">
        <v>0</v>
      </c>
      <c r="V37" s="661">
        <v>0</v>
      </c>
      <c r="W37" s="661">
        <v>0</v>
      </c>
      <c r="X37" s="661">
        <v>0</v>
      </c>
      <c r="Y37" s="661">
        <v>0</v>
      </c>
      <c r="Z37" s="661">
        <v>0</v>
      </c>
      <c r="AA37" s="661"/>
      <c r="AB37" s="661">
        <v>0</v>
      </c>
      <c r="AC37" s="661">
        <v>0</v>
      </c>
      <c r="AD37" s="661">
        <v>0</v>
      </c>
      <c r="AE37" s="661">
        <v>0</v>
      </c>
      <c r="AF37" s="661">
        <v>0</v>
      </c>
    </row>
    <row r="38" spans="1:32">
      <c r="A38" s="661">
        <v>32</v>
      </c>
      <c r="B38" s="654" t="s">
        <v>1044</v>
      </c>
      <c r="C38" s="661">
        <v>0</v>
      </c>
      <c r="D38" s="661">
        <v>1229</v>
      </c>
      <c r="E38" s="661">
        <v>0</v>
      </c>
      <c r="F38" s="661">
        <v>12</v>
      </c>
      <c r="G38" s="661">
        <v>0</v>
      </c>
      <c r="H38" s="661">
        <v>1241</v>
      </c>
      <c r="I38" s="661">
        <v>1108</v>
      </c>
      <c r="J38" s="661">
        <v>0</v>
      </c>
      <c r="K38" s="661">
        <v>0</v>
      </c>
      <c r="L38" s="661">
        <v>0</v>
      </c>
      <c r="M38" s="661">
        <v>0</v>
      </c>
      <c r="N38" s="661">
        <v>1108</v>
      </c>
      <c r="O38" s="661">
        <v>1108</v>
      </c>
      <c r="P38" s="661">
        <v>0</v>
      </c>
      <c r="Q38" s="661">
        <v>0</v>
      </c>
      <c r="R38" s="661">
        <v>0</v>
      </c>
      <c r="S38" s="661">
        <v>0</v>
      </c>
      <c r="T38" s="661">
        <v>1108</v>
      </c>
      <c r="U38" s="661">
        <v>0</v>
      </c>
      <c r="V38" s="661">
        <v>0</v>
      </c>
      <c r="W38" s="661">
        <v>0</v>
      </c>
      <c r="X38" s="661">
        <v>0</v>
      </c>
      <c r="Y38" s="661">
        <v>0</v>
      </c>
      <c r="Z38" s="661">
        <v>0</v>
      </c>
      <c r="AA38" s="661"/>
      <c r="AB38" s="661">
        <v>0</v>
      </c>
      <c r="AC38" s="661">
        <v>0</v>
      </c>
      <c r="AD38" s="661">
        <v>0</v>
      </c>
      <c r="AE38" s="661">
        <v>0</v>
      </c>
      <c r="AF38" s="661">
        <v>0</v>
      </c>
    </row>
    <row r="39" spans="1:32">
      <c r="A39" s="661">
        <v>33</v>
      </c>
      <c r="B39" s="654" t="s">
        <v>857</v>
      </c>
      <c r="C39" s="661">
        <v>0</v>
      </c>
      <c r="D39" s="661">
        <v>566</v>
      </c>
      <c r="E39" s="661">
        <v>0</v>
      </c>
      <c r="F39" s="661">
        <v>29</v>
      </c>
      <c r="G39" s="661">
        <v>0</v>
      </c>
      <c r="H39" s="661">
        <v>595</v>
      </c>
      <c r="I39" s="661">
        <v>603</v>
      </c>
      <c r="J39" s="661">
        <v>0</v>
      </c>
      <c r="K39" s="661">
        <v>0</v>
      </c>
      <c r="L39" s="661">
        <v>0</v>
      </c>
      <c r="M39" s="661">
        <v>0</v>
      </c>
      <c r="N39" s="661">
        <v>603</v>
      </c>
      <c r="O39" s="661">
        <v>603</v>
      </c>
      <c r="P39" s="661">
        <v>0</v>
      </c>
      <c r="Q39" s="661">
        <v>0</v>
      </c>
      <c r="R39" s="661">
        <v>0</v>
      </c>
      <c r="S39" s="661">
        <v>0</v>
      </c>
      <c r="T39" s="661">
        <v>603</v>
      </c>
      <c r="U39" s="661">
        <v>0</v>
      </c>
      <c r="V39" s="661">
        <v>0</v>
      </c>
      <c r="W39" s="661">
        <v>0</v>
      </c>
      <c r="X39" s="661">
        <v>0</v>
      </c>
      <c r="Y39" s="661">
        <v>0</v>
      </c>
      <c r="Z39" s="661">
        <v>0</v>
      </c>
      <c r="AA39" s="661"/>
      <c r="AB39" s="661">
        <v>0</v>
      </c>
      <c r="AC39" s="661">
        <v>0</v>
      </c>
      <c r="AD39" s="661">
        <v>0</v>
      </c>
      <c r="AE39" s="661">
        <v>0</v>
      </c>
      <c r="AF39" s="661">
        <v>0</v>
      </c>
    </row>
    <row r="40" spans="1:32">
      <c r="A40" s="661"/>
      <c r="B40" s="654" t="s">
        <v>18</v>
      </c>
      <c r="C40" s="661">
        <v>365</v>
      </c>
      <c r="D40" s="661">
        <v>32368</v>
      </c>
      <c r="E40" s="661">
        <v>0</v>
      </c>
      <c r="F40" s="661">
        <v>1572</v>
      </c>
      <c r="G40" s="661">
        <v>2</v>
      </c>
      <c r="H40" s="661">
        <v>34307</v>
      </c>
      <c r="I40" s="661">
        <v>33540</v>
      </c>
      <c r="J40" s="661">
        <v>0</v>
      </c>
      <c r="K40" s="661">
        <v>0</v>
      </c>
      <c r="L40" s="661">
        <v>0</v>
      </c>
      <c r="M40" s="661">
        <v>0</v>
      </c>
      <c r="N40" s="661">
        <v>33540</v>
      </c>
      <c r="O40" s="661">
        <v>33540</v>
      </c>
      <c r="P40" s="661">
        <v>0</v>
      </c>
      <c r="Q40" s="661">
        <v>0</v>
      </c>
      <c r="R40" s="661">
        <v>0</v>
      </c>
      <c r="S40" s="661">
        <v>0</v>
      </c>
      <c r="T40" s="661">
        <v>33540</v>
      </c>
      <c r="U40" s="661">
        <v>0</v>
      </c>
      <c r="V40" s="661">
        <v>0</v>
      </c>
      <c r="W40" s="661">
        <v>0</v>
      </c>
      <c r="X40" s="661">
        <v>0</v>
      </c>
      <c r="Y40" s="661">
        <v>0</v>
      </c>
      <c r="Z40" s="661">
        <v>0</v>
      </c>
      <c r="AA40" s="661"/>
      <c r="AB40" s="661">
        <v>0</v>
      </c>
      <c r="AC40" s="661">
        <v>0</v>
      </c>
      <c r="AD40" s="661">
        <v>0</v>
      </c>
      <c r="AE40" s="661">
        <v>0</v>
      </c>
      <c r="AF40" s="661">
        <v>0</v>
      </c>
    </row>
    <row r="41" spans="1:32">
      <c r="A41" s="651"/>
      <c r="B41" s="652"/>
      <c r="C41" s="651"/>
      <c r="D41" s="651"/>
      <c r="E41" s="651"/>
      <c r="F41" s="1596" t="s">
        <v>1113</v>
      </c>
      <c r="G41" s="1596"/>
      <c r="H41" s="1596"/>
      <c r="I41" s="1596"/>
      <c r="J41" s="1596"/>
      <c r="K41" s="1596"/>
      <c r="L41" s="1596"/>
      <c r="M41" s="1596"/>
      <c r="N41" s="1596"/>
      <c r="O41" s="1596"/>
      <c r="P41" s="1596"/>
      <c r="Q41" s="1596"/>
      <c r="R41" s="1596"/>
      <c r="S41" s="1596"/>
      <c r="T41" s="1596"/>
      <c r="U41" s="1596"/>
      <c r="V41" s="1596"/>
      <c r="W41" s="1596"/>
      <c r="X41" s="1596"/>
      <c r="Y41" s="1596"/>
      <c r="Z41" s="1596"/>
      <c r="AA41" s="651"/>
      <c r="AB41" s="651"/>
      <c r="AC41" s="651"/>
      <c r="AD41" s="651"/>
      <c r="AE41" s="651"/>
      <c r="AF41" s="651"/>
    </row>
    <row r="42" spans="1:32">
      <c r="F42" s="1597"/>
      <c r="G42" s="1597"/>
      <c r="H42" s="1597"/>
      <c r="I42" s="1597"/>
      <c r="J42" s="1597"/>
      <c r="K42" s="1597"/>
      <c r="L42" s="1597"/>
      <c r="M42" s="1597"/>
      <c r="N42" s="1597"/>
      <c r="O42" s="1597"/>
      <c r="P42" s="1597"/>
      <c r="Q42" s="1597"/>
      <c r="R42" s="1597"/>
      <c r="S42" s="1597"/>
      <c r="T42" s="1597"/>
      <c r="U42" s="1597"/>
      <c r="V42" s="1597"/>
      <c r="W42" s="1597"/>
      <c r="X42" s="1597"/>
      <c r="Y42" s="1597"/>
      <c r="Z42" s="1597"/>
    </row>
    <row r="43" spans="1:32" s="994" customFormat="1" ht="15.6" customHeight="1">
      <c r="A43" s="15" t="s">
        <v>12</v>
      </c>
      <c r="B43" s="15"/>
      <c r="C43" s="15"/>
      <c r="AB43" s="1040" t="s">
        <v>1106</v>
      </c>
      <c r="AC43" s="1040"/>
      <c r="AD43" s="1040"/>
      <c r="AE43" s="1040"/>
    </row>
    <row r="44" spans="1:32" s="994" customFormat="1" ht="15.6" customHeight="1">
      <c r="AB44" s="1040" t="s">
        <v>481</v>
      </c>
      <c r="AC44" s="1040"/>
      <c r="AD44" s="1040"/>
      <c r="AE44" s="1040"/>
    </row>
    <row r="45" spans="1:32" s="994" customFormat="1" ht="15.6" customHeight="1">
      <c r="AA45" s="1040" t="s">
        <v>1107</v>
      </c>
      <c r="AB45" s="1040"/>
      <c r="AC45" s="1040"/>
      <c r="AD45" s="1040"/>
      <c r="AE45" s="1040"/>
    </row>
  </sheetData>
  <mergeCells count="11">
    <mergeCell ref="G1:N1"/>
    <mergeCell ref="AD1:AF1"/>
    <mergeCell ref="A2:S2"/>
    <mergeCell ref="AB44:AE44"/>
    <mergeCell ref="AB43:AE43"/>
    <mergeCell ref="AA45:AE45"/>
    <mergeCell ref="A3:AF3"/>
    <mergeCell ref="A4:A5"/>
    <mergeCell ref="B4:B5"/>
    <mergeCell ref="C4:H4"/>
    <mergeCell ref="F41:Z42"/>
  </mergeCells>
  <phoneticPr fontId="0" type="noConversion"/>
  <printOptions horizontalCentered="1"/>
  <pageMargins left="0.70866141732283472" right="0.70866141732283472" top="0.63" bottom="0" header="0.79" footer="0.31496062992125984"/>
  <pageSetup paperSize="9" scale="77" orientation="landscape" r:id="rId1"/>
</worksheet>
</file>

<file path=xl/worksheets/sheet65.xml><?xml version="1.0" encoding="utf-8"?>
<worksheet xmlns="http://schemas.openxmlformats.org/spreadsheetml/2006/main" xmlns:r="http://schemas.openxmlformats.org/officeDocument/2006/relationships">
  <dimension ref="A1:S52"/>
  <sheetViews>
    <sheetView topLeftCell="A10" workbookViewId="0">
      <selection activeCell="E10" sqref="E10:K42"/>
    </sheetView>
  </sheetViews>
  <sheetFormatPr defaultRowHeight="12.75"/>
  <cols>
    <col min="2" max="2" width="20.85546875" customWidth="1"/>
    <col min="4" max="4" width="15.7109375" customWidth="1"/>
    <col min="8" max="8" width="14.140625" customWidth="1"/>
    <col min="9" max="9" width="11" customWidth="1"/>
    <col min="10" max="10" width="15.5703125" customWidth="1"/>
    <col min="11" max="11" width="11.5703125" customWidth="1"/>
  </cols>
  <sheetData>
    <row r="1" spans="1:19" ht="15">
      <c r="A1" s="406"/>
      <c r="B1" s="406"/>
      <c r="C1" s="406"/>
      <c r="D1" s="1361"/>
      <c r="E1" s="1361"/>
      <c r="F1" s="406"/>
      <c r="G1" s="406"/>
      <c r="H1" s="407"/>
      <c r="I1" s="406"/>
      <c r="J1" s="1359"/>
      <c r="K1" s="1359"/>
      <c r="L1" s="406"/>
      <c r="M1" s="406"/>
      <c r="N1" s="406"/>
      <c r="O1" s="406"/>
      <c r="P1" s="406"/>
      <c r="Q1" s="406"/>
      <c r="R1" s="406"/>
      <c r="S1" s="406"/>
    </row>
    <row r="2" spans="1:19" ht="15">
      <c r="A2" s="1358" t="s">
        <v>0</v>
      </c>
      <c r="B2" s="1358"/>
      <c r="C2" s="1358"/>
      <c r="D2" s="1358"/>
      <c r="E2" s="1358"/>
      <c r="F2" s="1358"/>
      <c r="G2" s="1358"/>
      <c r="H2" s="1358"/>
      <c r="I2" s="1358"/>
      <c r="J2" s="1358"/>
      <c r="K2" s="406"/>
      <c r="L2" s="406"/>
      <c r="M2" s="406"/>
      <c r="N2" s="406"/>
      <c r="O2" s="406"/>
      <c r="P2" s="406"/>
      <c r="Q2" s="406"/>
      <c r="R2" s="406"/>
      <c r="S2" s="406"/>
    </row>
    <row r="3" spans="1:19" ht="18">
      <c r="A3" s="1362" t="s">
        <v>636</v>
      </c>
      <c r="B3" s="1362"/>
      <c r="C3" s="1362"/>
      <c r="D3" s="1362"/>
      <c r="E3" s="1362"/>
      <c r="F3" s="1362"/>
      <c r="G3" s="1362"/>
      <c r="H3" s="1362"/>
      <c r="I3" s="1362"/>
      <c r="J3" s="1362"/>
      <c r="K3" s="406"/>
      <c r="L3" s="406"/>
      <c r="M3" s="406"/>
      <c r="N3" s="406"/>
      <c r="O3" s="406"/>
      <c r="P3" s="406"/>
      <c r="Q3" s="406"/>
      <c r="R3" s="406"/>
      <c r="S3" s="406"/>
    </row>
    <row r="4" spans="1:19">
      <c r="A4" s="406"/>
      <c r="B4" s="406"/>
      <c r="C4" s="406"/>
      <c r="D4" s="406"/>
      <c r="E4" s="406"/>
      <c r="F4" s="406"/>
      <c r="G4" s="406"/>
      <c r="H4" s="406"/>
      <c r="I4" s="406"/>
      <c r="J4" s="406"/>
      <c r="K4" s="406"/>
      <c r="L4" s="406"/>
      <c r="M4" s="406"/>
      <c r="N4" s="406"/>
      <c r="O4" s="406"/>
      <c r="P4" s="406"/>
      <c r="Q4" s="406"/>
      <c r="R4" s="406"/>
      <c r="S4" s="406"/>
    </row>
    <row r="5" spans="1:19" ht="15.75">
      <c r="A5" s="409"/>
      <c r="B5" s="409"/>
      <c r="C5" s="409"/>
      <c r="D5" s="409"/>
      <c r="E5" s="409"/>
      <c r="F5" s="409"/>
      <c r="G5" s="409"/>
      <c r="H5" s="409"/>
      <c r="I5" s="409"/>
      <c r="J5" s="409"/>
      <c r="K5" s="408"/>
      <c r="L5" s="408"/>
      <c r="M5" s="408"/>
      <c r="N5" s="408"/>
      <c r="O5" s="408"/>
      <c r="P5" s="408"/>
      <c r="Q5" s="408"/>
      <c r="R5" s="408"/>
      <c r="S5" s="408"/>
    </row>
    <row r="6" spans="1:19">
      <c r="A6" s="1356" t="s">
        <v>905</v>
      </c>
      <c r="B6" s="1356"/>
      <c r="C6" s="408"/>
      <c r="D6" s="408"/>
      <c r="E6" s="408"/>
      <c r="F6" s="408"/>
      <c r="G6" s="408"/>
      <c r="H6" s="408"/>
      <c r="I6" s="1357"/>
      <c r="J6" s="1357"/>
      <c r="K6" s="1357"/>
      <c r="L6" s="408"/>
      <c r="M6" s="408"/>
      <c r="N6" s="408"/>
      <c r="O6" s="408"/>
      <c r="P6" s="408"/>
      <c r="Q6" s="408"/>
      <c r="R6" s="408"/>
      <c r="S6" s="408"/>
    </row>
    <row r="7" spans="1:19" ht="15.75">
      <c r="A7" s="410"/>
      <c r="B7" s="410"/>
      <c r="C7" s="1358"/>
      <c r="D7" s="1358"/>
      <c r="E7" s="1358"/>
      <c r="F7" s="1358"/>
      <c r="G7" s="1358"/>
      <c r="H7" s="1358"/>
      <c r="I7" s="1358"/>
      <c r="J7" s="1358"/>
      <c r="K7" s="410"/>
      <c r="L7" s="410"/>
      <c r="M7" s="410"/>
      <c r="N7" s="410"/>
      <c r="O7" s="410"/>
      <c r="P7" s="410"/>
      <c r="Q7" s="410"/>
      <c r="R7" s="410"/>
      <c r="S7" s="410"/>
    </row>
    <row r="8" spans="1:19" ht="25.5">
      <c r="A8" s="987" t="s">
        <v>25</v>
      </c>
      <c r="B8" s="987" t="s">
        <v>38</v>
      </c>
      <c r="C8" s="969" t="s">
        <v>1102</v>
      </c>
      <c r="D8" s="969" t="s">
        <v>1103</v>
      </c>
      <c r="E8" s="969"/>
      <c r="F8" s="969"/>
      <c r="G8" s="969"/>
      <c r="H8" s="969"/>
      <c r="I8" s="969"/>
      <c r="J8" s="969"/>
      <c r="K8" s="970"/>
      <c r="L8" s="414"/>
      <c r="M8" s="414"/>
      <c r="N8" s="414"/>
      <c r="O8" s="414"/>
      <c r="P8" s="414"/>
      <c r="Q8" s="414"/>
      <c r="R8" s="414"/>
      <c r="S8" s="414"/>
    </row>
    <row r="9" spans="1:19">
      <c r="A9" s="415">
        <v>1</v>
      </c>
      <c r="B9" s="415">
        <v>2</v>
      </c>
      <c r="C9" s="415">
        <v>3</v>
      </c>
      <c r="D9" s="415">
        <v>4</v>
      </c>
      <c r="E9" s="415">
        <v>5</v>
      </c>
      <c r="F9" s="415">
        <v>6</v>
      </c>
      <c r="G9" s="415">
        <v>7</v>
      </c>
      <c r="H9" s="415">
        <v>8</v>
      </c>
      <c r="I9" s="415">
        <v>9</v>
      </c>
      <c r="J9" s="415">
        <v>10</v>
      </c>
      <c r="K9" s="415">
        <v>11</v>
      </c>
      <c r="L9" s="412"/>
      <c r="M9" s="412"/>
      <c r="N9" s="412"/>
      <c r="O9" s="412"/>
      <c r="P9" s="412"/>
      <c r="Q9" s="412"/>
      <c r="R9" s="412"/>
      <c r="S9" s="412"/>
    </row>
    <row r="10" spans="1:19" ht="14.25">
      <c r="A10" s="972">
        <v>1</v>
      </c>
      <c r="B10" s="973" t="s">
        <v>825</v>
      </c>
      <c r="C10" s="974">
        <v>798</v>
      </c>
      <c r="D10" s="975">
        <f>C10*15000</f>
        <v>11970000</v>
      </c>
      <c r="E10" s="1602" t="s">
        <v>1104</v>
      </c>
      <c r="F10" s="1603"/>
      <c r="G10" s="1603"/>
      <c r="H10" s="1603"/>
      <c r="I10" s="1603"/>
      <c r="J10" s="1603"/>
      <c r="K10" s="1604"/>
      <c r="L10" s="976"/>
      <c r="M10" s="977"/>
      <c r="N10" s="977"/>
      <c r="O10" s="977"/>
      <c r="P10" s="977"/>
      <c r="Q10" s="977"/>
      <c r="R10" s="977"/>
      <c r="S10" s="977"/>
    </row>
    <row r="11" spans="1:19" ht="14.25">
      <c r="A11" s="972">
        <v>2</v>
      </c>
      <c r="B11" s="973" t="s">
        <v>826</v>
      </c>
      <c r="C11" s="974">
        <v>811</v>
      </c>
      <c r="D11" s="975">
        <f t="shared" ref="D11:D42" si="0">C11*15000</f>
        <v>12165000</v>
      </c>
      <c r="E11" s="1605"/>
      <c r="F11" s="1606"/>
      <c r="G11" s="1606"/>
      <c r="H11" s="1606"/>
      <c r="I11" s="1606"/>
      <c r="J11" s="1606"/>
      <c r="K11" s="1607"/>
      <c r="L11" s="976"/>
      <c r="M11" s="977"/>
      <c r="N11" s="977"/>
      <c r="O11" s="977"/>
      <c r="P11" s="977"/>
      <c r="Q11" s="977"/>
      <c r="R11" s="977"/>
      <c r="S11" s="977"/>
    </row>
    <row r="12" spans="1:19" ht="14.25">
      <c r="A12" s="972">
        <v>3</v>
      </c>
      <c r="B12" s="973" t="s">
        <v>827</v>
      </c>
      <c r="C12" s="974">
        <v>1449</v>
      </c>
      <c r="D12" s="975">
        <f t="shared" si="0"/>
        <v>21735000</v>
      </c>
      <c r="E12" s="1605"/>
      <c r="F12" s="1606"/>
      <c r="G12" s="1606"/>
      <c r="H12" s="1606"/>
      <c r="I12" s="1606"/>
      <c r="J12" s="1606"/>
      <c r="K12" s="1607"/>
      <c r="L12" s="976"/>
      <c r="M12" s="977"/>
      <c r="N12" s="977"/>
      <c r="O12" s="977"/>
      <c r="P12" s="977"/>
      <c r="Q12" s="977"/>
      <c r="R12" s="977"/>
      <c r="S12" s="977"/>
    </row>
    <row r="13" spans="1:19" ht="14.25">
      <c r="A13" s="972">
        <v>4</v>
      </c>
      <c r="B13" s="973" t="s">
        <v>828</v>
      </c>
      <c r="C13" s="974">
        <v>1101</v>
      </c>
      <c r="D13" s="975">
        <f t="shared" si="0"/>
        <v>16515000</v>
      </c>
      <c r="E13" s="1605"/>
      <c r="F13" s="1606"/>
      <c r="G13" s="1606"/>
      <c r="H13" s="1606"/>
      <c r="I13" s="1606"/>
      <c r="J13" s="1606"/>
      <c r="K13" s="1607"/>
      <c r="L13" s="976"/>
      <c r="M13" s="977"/>
      <c r="N13" s="977"/>
      <c r="O13" s="977"/>
      <c r="P13" s="977"/>
      <c r="Q13" s="977"/>
      <c r="R13" s="977"/>
      <c r="S13" s="977"/>
    </row>
    <row r="14" spans="1:19" ht="14.25">
      <c r="A14" s="972">
        <v>5</v>
      </c>
      <c r="B14" s="973" t="s">
        <v>829</v>
      </c>
      <c r="C14" s="974">
        <v>2551</v>
      </c>
      <c r="D14" s="975">
        <f t="shared" si="0"/>
        <v>38265000</v>
      </c>
      <c r="E14" s="1605"/>
      <c r="F14" s="1606"/>
      <c r="G14" s="1606"/>
      <c r="H14" s="1606"/>
      <c r="I14" s="1606"/>
      <c r="J14" s="1606"/>
      <c r="K14" s="1607"/>
      <c r="L14" s="976"/>
      <c r="M14" s="977"/>
      <c r="N14" s="977"/>
      <c r="O14" s="977"/>
      <c r="P14" s="977"/>
      <c r="Q14" s="977"/>
      <c r="R14" s="977"/>
      <c r="S14" s="977"/>
    </row>
    <row r="15" spans="1:19" ht="13.9" customHeight="1">
      <c r="A15" s="972">
        <v>6</v>
      </c>
      <c r="B15" s="973" t="s">
        <v>830</v>
      </c>
      <c r="C15" s="974">
        <v>990</v>
      </c>
      <c r="D15" s="978">
        <f t="shared" si="0"/>
        <v>14850000</v>
      </c>
      <c r="E15" s="1605"/>
      <c r="F15" s="1606"/>
      <c r="G15" s="1606"/>
      <c r="H15" s="1606"/>
      <c r="I15" s="1606"/>
      <c r="J15" s="1606"/>
      <c r="K15" s="1607"/>
      <c r="L15" s="976"/>
    </row>
    <row r="16" spans="1:19" ht="14.25">
      <c r="A16" s="972">
        <v>7</v>
      </c>
      <c r="B16" s="973" t="s">
        <v>831</v>
      </c>
      <c r="C16" s="974">
        <v>700</v>
      </c>
      <c r="D16" s="978">
        <f t="shared" si="0"/>
        <v>10500000</v>
      </c>
      <c r="E16" s="1605"/>
      <c r="F16" s="1606"/>
      <c r="G16" s="1606"/>
      <c r="H16" s="1606"/>
      <c r="I16" s="1606"/>
      <c r="J16" s="1606"/>
      <c r="K16" s="1607"/>
      <c r="L16" s="976"/>
    </row>
    <row r="17" spans="1:12" ht="14.25">
      <c r="A17" s="972">
        <v>8</v>
      </c>
      <c r="B17" s="973" t="s">
        <v>832</v>
      </c>
      <c r="C17" s="974">
        <v>995</v>
      </c>
      <c r="D17" s="978">
        <f t="shared" si="0"/>
        <v>14925000</v>
      </c>
      <c r="E17" s="1605"/>
      <c r="F17" s="1606"/>
      <c r="G17" s="1606"/>
      <c r="H17" s="1606"/>
      <c r="I17" s="1606"/>
      <c r="J17" s="1606"/>
      <c r="K17" s="1607"/>
      <c r="L17" s="976"/>
    </row>
    <row r="18" spans="1:12" ht="14.25">
      <c r="A18" s="972">
        <v>9</v>
      </c>
      <c r="B18" s="973" t="s">
        <v>833</v>
      </c>
      <c r="C18" s="974">
        <v>1791</v>
      </c>
      <c r="D18" s="978">
        <f t="shared" si="0"/>
        <v>26865000</v>
      </c>
      <c r="E18" s="1605"/>
      <c r="F18" s="1606"/>
      <c r="G18" s="1606"/>
      <c r="H18" s="1606"/>
      <c r="I18" s="1606"/>
      <c r="J18" s="1606"/>
      <c r="K18" s="1607"/>
      <c r="L18" s="976"/>
    </row>
    <row r="19" spans="1:12" ht="14.25">
      <c r="A19" s="972">
        <v>10</v>
      </c>
      <c r="B19" s="973" t="s">
        <v>834</v>
      </c>
      <c r="C19" s="974">
        <v>432</v>
      </c>
      <c r="D19" s="978">
        <f t="shared" si="0"/>
        <v>6480000</v>
      </c>
      <c r="E19" s="1605"/>
      <c r="F19" s="1606"/>
      <c r="G19" s="1606"/>
      <c r="H19" s="1606"/>
      <c r="I19" s="1606"/>
      <c r="J19" s="1606"/>
      <c r="K19" s="1607"/>
      <c r="L19" s="976"/>
    </row>
    <row r="20" spans="1:12" ht="14.25">
      <c r="A20" s="972">
        <v>11</v>
      </c>
      <c r="B20" s="979" t="s">
        <v>835</v>
      </c>
      <c r="C20" s="974">
        <v>199</v>
      </c>
      <c r="D20" s="978">
        <f t="shared" si="0"/>
        <v>2985000</v>
      </c>
      <c r="E20" s="1605"/>
      <c r="F20" s="1606"/>
      <c r="G20" s="1606"/>
      <c r="H20" s="1606"/>
      <c r="I20" s="1606"/>
      <c r="J20" s="1606"/>
      <c r="K20" s="1607"/>
      <c r="L20" s="976"/>
    </row>
    <row r="21" spans="1:12" ht="14.25">
      <c r="A21" s="972">
        <v>12</v>
      </c>
      <c r="B21" s="979" t="s">
        <v>836</v>
      </c>
      <c r="C21" s="974">
        <v>1459</v>
      </c>
      <c r="D21" s="978">
        <f t="shared" si="0"/>
        <v>21885000</v>
      </c>
      <c r="E21" s="1605"/>
      <c r="F21" s="1606"/>
      <c r="G21" s="1606"/>
      <c r="H21" s="1606"/>
      <c r="I21" s="1606"/>
      <c r="J21" s="1606"/>
      <c r="K21" s="1607"/>
      <c r="L21" s="976"/>
    </row>
    <row r="22" spans="1:12" ht="14.25">
      <c r="A22" s="972">
        <v>13</v>
      </c>
      <c r="B22" s="979" t="s">
        <v>837</v>
      </c>
      <c r="C22" s="974">
        <v>1734</v>
      </c>
      <c r="D22" s="978">
        <f t="shared" si="0"/>
        <v>26010000</v>
      </c>
      <c r="E22" s="1605"/>
      <c r="F22" s="1606"/>
      <c r="G22" s="1606"/>
      <c r="H22" s="1606"/>
      <c r="I22" s="1606"/>
      <c r="J22" s="1606"/>
      <c r="K22" s="1607"/>
      <c r="L22" s="976"/>
    </row>
    <row r="23" spans="1:12" ht="14.25">
      <c r="A23" s="972">
        <v>14</v>
      </c>
      <c r="B23" s="979" t="s">
        <v>838</v>
      </c>
      <c r="C23" s="974">
        <v>794</v>
      </c>
      <c r="D23" s="978">
        <f t="shared" si="0"/>
        <v>11910000</v>
      </c>
      <c r="E23" s="1605"/>
      <c r="F23" s="1606"/>
      <c r="G23" s="1606"/>
      <c r="H23" s="1606"/>
      <c r="I23" s="1606"/>
      <c r="J23" s="1606"/>
      <c r="K23" s="1607"/>
      <c r="L23" s="976"/>
    </row>
    <row r="24" spans="1:12" ht="14.25">
      <c r="A24" s="972">
        <v>15</v>
      </c>
      <c r="B24" s="979" t="s">
        <v>839</v>
      </c>
      <c r="C24" s="974">
        <v>824</v>
      </c>
      <c r="D24" s="978">
        <f t="shared" si="0"/>
        <v>12360000</v>
      </c>
      <c r="E24" s="1605"/>
      <c r="F24" s="1606"/>
      <c r="G24" s="1606"/>
      <c r="H24" s="1606"/>
      <c r="I24" s="1606"/>
      <c r="J24" s="1606"/>
      <c r="K24" s="1607"/>
      <c r="L24" s="976"/>
    </row>
    <row r="25" spans="1:12" ht="14.25">
      <c r="A25" s="972">
        <v>16</v>
      </c>
      <c r="B25" s="979" t="s">
        <v>840</v>
      </c>
      <c r="C25" s="974">
        <v>335</v>
      </c>
      <c r="D25" s="978">
        <f t="shared" si="0"/>
        <v>5025000</v>
      </c>
      <c r="E25" s="1605"/>
      <c r="F25" s="1606"/>
      <c r="G25" s="1606"/>
      <c r="H25" s="1606"/>
      <c r="I25" s="1606"/>
      <c r="J25" s="1606"/>
      <c r="K25" s="1607"/>
      <c r="L25" s="976"/>
    </row>
    <row r="26" spans="1:12" ht="14.25">
      <c r="A26" s="972">
        <v>17</v>
      </c>
      <c r="B26" s="979" t="s">
        <v>841</v>
      </c>
      <c r="C26" s="974">
        <v>1102</v>
      </c>
      <c r="D26" s="978">
        <f t="shared" si="0"/>
        <v>16530000</v>
      </c>
      <c r="E26" s="1605"/>
      <c r="F26" s="1606"/>
      <c r="G26" s="1606"/>
      <c r="H26" s="1606"/>
      <c r="I26" s="1606"/>
      <c r="J26" s="1606"/>
      <c r="K26" s="1607"/>
      <c r="L26" s="976"/>
    </row>
    <row r="27" spans="1:12" ht="14.25">
      <c r="A27" s="972">
        <v>18</v>
      </c>
      <c r="B27" s="979" t="s">
        <v>842</v>
      </c>
      <c r="C27" s="974">
        <v>855</v>
      </c>
      <c r="D27" s="978">
        <f t="shared" si="0"/>
        <v>12825000</v>
      </c>
      <c r="E27" s="1605"/>
      <c r="F27" s="1606"/>
      <c r="G27" s="1606"/>
      <c r="H27" s="1606"/>
      <c r="I27" s="1606"/>
      <c r="J27" s="1606"/>
      <c r="K27" s="1607"/>
      <c r="L27" s="976"/>
    </row>
    <row r="28" spans="1:12" ht="14.25">
      <c r="A28" s="972">
        <v>19</v>
      </c>
      <c r="B28" s="979" t="s">
        <v>843</v>
      </c>
      <c r="C28" s="974">
        <v>952</v>
      </c>
      <c r="D28" s="978">
        <f t="shared" si="0"/>
        <v>14280000</v>
      </c>
      <c r="E28" s="1605"/>
      <c r="F28" s="1606"/>
      <c r="G28" s="1606"/>
      <c r="H28" s="1606"/>
      <c r="I28" s="1606"/>
      <c r="J28" s="1606"/>
      <c r="K28" s="1607"/>
      <c r="L28" s="976"/>
    </row>
    <row r="29" spans="1:12" ht="15.75" customHeight="1">
      <c r="A29" s="972">
        <v>20</v>
      </c>
      <c r="B29" s="979" t="s">
        <v>844</v>
      </c>
      <c r="C29" s="974">
        <v>1317</v>
      </c>
      <c r="D29" s="978">
        <f t="shared" si="0"/>
        <v>19755000</v>
      </c>
      <c r="E29" s="1605"/>
      <c r="F29" s="1606"/>
      <c r="G29" s="1606"/>
      <c r="H29" s="1606"/>
      <c r="I29" s="1606"/>
      <c r="J29" s="1606"/>
      <c r="K29" s="1607"/>
      <c r="L29" s="976"/>
    </row>
    <row r="30" spans="1:12" ht="13.9" customHeight="1">
      <c r="A30" s="972">
        <v>21</v>
      </c>
      <c r="B30" s="979" t="s">
        <v>845</v>
      </c>
      <c r="C30" s="974">
        <v>1022</v>
      </c>
      <c r="D30" s="978">
        <f t="shared" si="0"/>
        <v>15330000</v>
      </c>
      <c r="E30" s="1605"/>
      <c r="F30" s="1606"/>
      <c r="G30" s="1606"/>
      <c r="H30" s="1606"/>
      <c r="I30" s="1606"/>
      <c r="J30" s="1606"/>
      <c r="K30" s="1607"/>
      <c r="L30" s="976"/>
    </row>
    <row r="31" spans="1:12" ht="13.15" customHeight="1">
      <c r="A31" s="972">
        <v>22</v>
      </c>
      <c r="B31" s="979" t="s">
        <v>846</v>
      </c>
      <c r="C31" s="974">
        <v>910</v>
      </c>
      <c r="D31" s="978">
        <f t="shared" si="0"/>
        <v>13650000</v>
      </c>
      <c r="E31" s="1605"/>
      <c r="F31" s="1606"/>
      <c r="G31" s="1606"/>
      <c r="H31" s="1606"/>
      <c r="I31" s="1606"/>
      <c r="J31" s="1606"/>
      <c r="K31" s="1607"/>
      <c r="L31" s="976"/>
    </row>
    <row r="32" spans="1:12" ht="13.15" customHeight="1">
      <c r="A32" s="972">
        <v>23</v>
      </c>
      <c r="B32" s="979" t="s">
        <v>847</v>
      </c>
      <c r="C32" s="974">
        <v>620</v>
      </c>
      <c r="D32" s="978">
        <f t="shared" si="0"/>
        <v>9300000</v>
      </c>
      <c r="E32" s="1605"/>
      <c r="F32" s="1606"/>
      <c r="G32" s="1606"/>
      <c r="H32" s="1606"/>
      <c r="I32" s="1606"/>
      <c r="J32" s="1606"/>
      <c r="K32" s="1607"/>
      <c r="L32" s="976"/>
    </row>
    <row r="33" spans="1:16" ht="14.25">
      <c r="A33" s="972">
        <v>24</v>
      </c>
      <c r="B33" s="979" t="s">
        <v>848</v>
      </c>
      <c r="C33" s="974">
        <v>463</v>
      </c>
      <c r="D33" s="975">
        <f t="shared" si="0"/>
        <v>6945000</v>
      </c>
      <c r="E33" s="1605"/>
      <c r="F33" s="1606"/>
      <c r="G33" s="1606"/>
      <c r="H33" s="1606"/>
      <c r="I33" s="1606"/>
      <c r="J33" s="1606"/>
      <c r="K33" s="1607"/>
      <c r="L33" s="976"/>
    </row>
    <row r="34" spans="1:16" ht="14.25">
      <c r="A34" s="972">
        <v>25</v>
      </c>
      <c r="B34" s="979" t="s">
        <v>849</v>
      </c>
      <c r="C34" s="974">
        <v>31</v>
      </c>
      <c r="D34" s="975">
        <f t="shared" si="0"/>
        <v>465000</v>
      </c>
      <c r="E34" s="1605"/>
      <c r="F34" s="1606"/>
      <c r="G34" s="1606"/>
      <c r="H34" s="1606"/>
      <c r="I34" s="1606"/>
      <c r="J34" s="1606"/>
      <c r="K34" s="1607"/>
      <c r="L34" s="976"/>
    </row>
    <row r="35" spans="1:16" ht="14.25">
      <c r="A35" s="972">
        <v>26</v>
      </c>
      <c r="B35" s="979" t="s">
        <v>850</v>
      </c>
      <c r="C35" s="974">
        <v>819</v>
      </c>
      <c r="D35" s="975">
        <f t="shared" si="0"/>
        <v>12285000</v>
      </c>
      <c r="E35" s="1605"/>
      <c r="F35" s="1606"/>
      <c r="G35" s="1606"/>
      <c r="H35" s="1606"/>
      <c r="I35" s="1606"/>
      <c r="J35" s="1606"/>
      <c r="K35" s="1607"/>
      <c r="L35" s="976"/>
    </row>
    <row r="36" spans="1:16">
      <c r="A36" s="980">
        <v>27</v>
      </c>
      <c r="B36" s="981" t="s">
        <v>851</v>
      </c>
      <c r="C36" s="982">
        <v>1281</v>
      </c>
      <c r="D36" s="975">
        <f t="shared" si="0"/>
        <v>19215000</v>
      </c>
      <c r="E36" s="1605"/>
      <c r="F36" s="1606"/>
      <c r="G36" s="1606"/>
      <c r="H36" s="1606"/>
      <c r="I36" s="1606"/>
      <c r="J36" s="1606"/>
      <c r="K36" s="1607"/>
      <c r="L36" s="976"/>
    </row>
    <row r="37" spans="1:16">
      <c r="A37" s="980">
        <v>28</v>
      </c>
      <c r="B37" s="981" t="s">
        <v>852</v>
      </c>
      <c r="C37" s="982">
        <v>261</v>
      </c>
      <c r="D37" s="975">
        <f t="shared" si="0"/>
        <v>3915000</v>
      </c>
      <c r="E37" s="1605"/>
      <c r="F37" s="1606"/>
      <c r="G37" s="1606"/>
      <c r="H37" s="1606"/>
      <c r="I37" s="1606"/>
      <c r="J37" s="1606"/>
      <c r="K37" s="1607"/>
      <c r="L37" s="976"/>
    </row>
    <row r="38" spans="1:16">
      <c r="A38" s="980">
        <v>29</v>
      </c>
      <c r="B38" s="981" t="s">
        <v>853</v>
      </c>
      <c r="C38" s="982">
        <v>1293</v>
      </c>
      <c r="D38" s="975">
        <f t="shared" si="0"/>
        <v>19395000</v>
      </c>
      <c r="E38" s="1605"/>
      <c r="F38" s="1606"/>
      <c r="G38" s="1606"/>
      <c r="H38" s="1606"/>
      <c r="I38" s="1606"/>
      <c r="J38" s="1606"/>
      <c r="K38" s="1607"/>
      <c r="L38" s="976"/>
    </row>
    <row r="39" spans="1:16">
      <c r="A39" s="980">
        <v>30</v>
      </c>
      <c r="B39" s="981" t="s">
        <v>854</v>
      </c>
      <c r="C39" s="982">
        <v>661</v>
      </c>
      <c r="D39" s="975">
        <f t="shared" si="0"/>
        <v>9915000</v>
      </c>
      <c r="E39" s="1605"/>
      <c r="F39" s="1606"/>
      <c r="G39" s="1606"/>
      <c r="H39" s="1606"/>
      <c r="I39" s="1606"/>
      <c r="J39" s="1606"/>
      <c r="K39" s="1607"/>
      <c r="L39" s="976"/>
    </row>
    <row r="40" spans="1:16">
      <c r="A40" s="980">
        <v>31</v>
      </c>
      <c r="B40" s="981" t="s">
        <v>855</v>
      </c>
      <c r="C40" s="982">
        <v>594</v>
      </c>
      <c r="D40" s="975">
        <f t="shared" si="0"/>
        <v>8910000</v>
      </c>
      <c r="E40" s="1605"/>
      <c r="F40" s="1606"/>
      <c r="G40" s="1606"/>
      <c r="H40" s="1606"/>
      <c r="I40" s="1606"/>
      <c r="J40" s="1606"/>
      <c r="K40" s="1607"/>
      <c r="L40" s="976"/>
    </row>
    <row r="41" spans="1:16">
      <c r="A41" s="980">
        <v>32</v>
      </c>
      <c r="B41" s="981" t="s">
        <v>856</v>
      </c>
      <c r="C41" s="982">
        <v>1241</v>
      </c>
      <c r="D41" s="975">
        <f t="shared" si="0"/>
        <v>18615000</v>
      </c>
      <c r="E41" s="1605"/>
      <c r="F41" s="1606"/>
      <c r="G41" s="1606"/>
      <c r="H41" s="1606"/>
      <c r="I41" s="1606"/>
      <c r="J41" s="1606"/>
      <c r="K41" s="1607"/>
      <c r="L41" s="976"/>
    </row>
    <row r="42" spans="1:16">
      <c r="A42" s="980">
        <v>33</v>
      </c>
      <c r="B42" s="981" t="s">
        <v>857</v>
      </c>
      <c r="C42" s="982">
        <v>595</v>
      </c>
      <c r="D42" s="975">
        <f t="shared" si="0"/>
        <v>8925000</v>
      </c>
      <c r="E42" s="1608"/>
      <c r="F42" s="1609"/>
      <c r="G42" s="1609"/>
      <c r="H42" s="1609"/>
      <c r="I42" s="1609"/>
      <c r="J42" s="1609"/>
      <c r="K42" s="1610"/>
      <c r="L42" s="976"/>
    </row>
    <row r="43" spans="1:16" s="359" customFormat="1" ht="14.25">
      <c r="A43" s="1611" t="s">
        <v>18</v>
      </c>
      <c r="B43" s="1612"/>
      <c r="C43" s="983">
        <v>30980</v>
      </c>
      <c r="D43" s="984">
        <v>464700000</v>
      </c>
      <c r="E43" s="985">
        <v>0</v>
      </c>
      <c r="F43" s="985">
        <v>0</v>
      </c>
      <c r="G43" s="985">
        <v>0</v>
      </c>
      <c r="H43" s="985">
        <v>0</v>
      </c>
      <c r="I43" s="985">
        <v>0</v>
      </c>
      <c r="J43" s="985">
        <v>0</v>
      </c>
      <c r="K43" s="985">
        <v>0</v>
      </c>
      <c r="L43" s="986"/>
    </row>
    <row r="44" spans="1:16">
      <c r="A44" s="416"/>
      <c r="B44" s="416"/>
      <c r="C44" s="416"/>
      <c r="D44" s="416"/>
      <c r="E44" s="416"/>
      <c r="F44" s="416"/>
      <c r="G44" s="416"/>
      <c r="H44" s="416"/>
      <c r="I44" s="416"/>
      <c r="J44" s="416"/>
      <c r="K44" s="416"/>
      <c r="L44" s="416"/>
    </row>
    <row r="45" spans="1:16">
      <c r="A45" s="417" t="s">
        <v>42</v>
      </c>
      <c r="B45" s="416"/>
      <c r="C45" s="416"/>
      <c r="D45" s="416"/>
      <c r="E45" s="416"/>
      <c r="F45" s="416"/>
      <c r="G45" s="416"/>
      <c r="H45" s="416"/>
      <c r="I45" s="416"/>
      <c r="J45" s="416"/>
      <c r="K45" s="416"/>
      <c r="L45" s="416"/>
    </row>
    <row r="46" spans="1:16" ht="15.75">
      <c r="A46" s="406"/>
      <c r="B46" s="406"/>
      <c r="C46" s="1355"/>
      <c r="D46" s="1355"/>
      <c r="E46" s="1355"/>
      <c r="F46" s="1355"/>
      <c r="G46" s="406"/>
      <c r="H46" s="406"/>
      <c r="I46" s="406"/>
      <c r="J46" s="406"/>
      <c r="K46" s="406"/>
      <c r="L46" s="406"/>
    </row>
    <row r="47" spans="1:16">
      <c r="A47" s="408"/>
      <c r="B47" s="418"/>
      <c r="C47" s="418"/>
      <c r="D47" s="418"/>
      <c r="E47" s="418"/>
      <c r="F47" s="418"/>
      <c r="G47" s="418"/>
      <c r="H47" s="418"/>
      <c r="I47" s="1613" t="s">
        <v>13</v>
      </c>
      <c r="J47" s="1613"/>
      <c r="K47" s="418"/>
      <c r="L47" s="418"/>
      <c r="M47" s="418"/>
      <c r="N47" s="418"/>
      <c r="O47" s="418"/>
      <c r="P47" s="418"/>
    </row>
    <row r="48" spans="1:16">
      <c r="A48" s="1614" t="s">
        <v>14</v>
      </c>
      <c r="B48" s="1614"/>
      <c r="C48" s="1614"/>
      <c r="D48" s="1614"/>
      <c r="E48" s="1614"/>
      <c r="F48" s="1614"/>
      <c r="G48" s="1614"/>
      <c r="H48" s="1614"/>
      <c r="I48" s="1614"/>
      <c r="J48" s="1614"/>
      <c r="K48" s="418"/>
      <c r="L48" s="418"/>
      <c r="M48" s="418"/>
      <c r="N48" s="418"/>
      <c r="O48" s="418"/>
      <c r="P48" s="418"/>
    </row>
    <row r="49" spans="1:16">
      <c r="A49" s="1614" t="s">
        <v>19</v>
      </c>
      <c r="B49" s="1614"/>
      <c r="C49" s="1614"/>
      <c r="D49" s="1614"/>
      <c r="E49" s="1614"/>
      <c r="F49" s="1614"/>
      <c r="G49" s="1614"/>
      <c r="H49" s="1614"/>
      <c r="I49" s="1614"/>
      <c r="J49" s="1614"/>
      <c r="K49" s="418"/>
      <c r="L49" s="418"/>
      <c r="M49" s="418"/>
      <c r="N49" s="418"/>
      <c r="O49" s="418"/>
      <c r="P49" s="418"/>
    </row>
    <row r="50" spans="1:16">
      <c r="A50" s="419" t="s">
        <v>22</v>
      </c>
      <c r="B50" s="419"/>
      <c r="C50" s="419"/>
      <c r="D50" s="419"/>
      <c r="E50" s="419"/>
      <c r="F50" s="419"/>
      <c r="G50" s="408"/>
      <c r="H50" s="1361" t="s">
        <v>23</v>
      </c>
      <c r="I50" s="1361"/>
      <c r="J50" s="408"/>
      <c r="K50" s="408"/>
      <c r="L50" s="408"/>
      <c r="M50" s="408"/>
      <c r="N50" s="408"/>
      <c r="O50" s="408"/>
      <c r="P50" s="408"/>
    </row>
    <row r="51" spans="1:16">
      <c r="A51" s="419"/>
      <c r="B51" s="408"/>
      <c r="C51" s="408"/>
      <c r="D51" s="408"/>
      <c r="E51" s="408"/>
      <c r="F51" s="408"/>
      <c r="G51" s="408"/>
      <c r="H51" s="408"/>
      <c r="I51" s="408"/>
      <c r="J51" s="408"/>
      <c r="K51" s="408"/>
      <c r="L51" s="408"/>
      <c r="M51" s="408"/>
      <c r="N51" s="408"/>
      <c r="O51" s="408"/>
      <c r="P51" s="408"/>
    </row>
    <row r="52" spans="1:16">
      <c r="A52" s="1352"/>
      <c r="B52" s="1352"/>
      <c r="C52" s="1352"/>
      <c r="D52" s="1352"/>
      <c r="E52" s="1352"/>
      <c r="F52" s="1352"/>
      <c r="G52" s="1352"/>
      <c r="H52" s="1352"/>
      <c r="I52" s="1352"/>
      <c r="J52" s="1352"/>
      <c r="K52" s="406"/>
      <c r="L52" s="406"/>
      <c r="M52" s="406"/>
      <c r="N52" s="406"/>
      <c r="O52" s="406"/>
      <c r="P52" s="406"/>
    </row>
  </sheetData>
  <mergeCells count="15">
    <mergeCell ref="C7:J7"/>
    <mergeCell ref="D1:E1"/>
    <mergeCell ref="J1:K1"/>
    <mergeCell ref="A2:J2"/>
    <mergeCell ref="A3:J3"/>
    <mergeCell ref="A6:B6"/>
    <mergeCell ref="I6:K6"/>
    <mergeCell ref="H50:I50"/>
    <mergeCell ref="A52:J52"/>
    <mergeCell ref="E10:K42"/>
    <mergeCell ref="A43:B43"/>
    <mergeCell ref="C46:F46"/>
    <mergeCell ref="I47:J47"/>
    <mergeCell ref="A48:J48"/>
    <mergeCell ref="A49:J49"/>
  </mergeCells>
  <pageMargins left="0.7" right="0.7" top="0.75" bottom="0.75" header="0.3" footer="0.3"/>
</worksheet>
</file>

<file path=xl/worksheets/sheet66.xml><?xml version="1.0" encoding="utf-8"?>
<worksheet xmlns="http://schemas.openxmlformats.org/spreadsheetml/2006/main" xmlns:r="http://schemas.openxmlformats.org/officeDocument/2006/relationships">
  <sheetPr>
    <pageSetUpPr fitToPage="1"/>
  </sheetPr>
  <dimension ref="A1:O50"/>
  <sheetViews>
    <sheetView topLeftCell="A37" zoomScale="70" zoomScaleNormal="70" zoomScaleSheetLayoutView="115" workbookViewId="0">
      <selection activeCell="E13" sqref="E13"/>
    </sheetView>
  </sheetViews>
  <sheetFormatPr defaultColWidth="8.85546875" defaultRowHeight="14.25"/>
  <cols>
    <col min="1" max="1" width="8.140625" style="391" customWidth="1"/>
    <col min="2" max="2" width="12.5703125" style="391" customWidth="1"/>
    <col min="3" max="3" width="12.140625" style="391" customWidth="1"/>
    <col min="4" max="4" width="11.7109375" style="391" customWidth="1"/>
    <col min="5" max="5" width="11.28515625" style="391" customWidth="1"/>
    <col min="6" max="6" width="17.140625" style="391" customWidth="1"/>
    <col min="7" max="7" width="15.140625" style="391" customWidth="1"/>
    <col min="8" max="8" width="14.42578125" style="391" customWidth="1"/>
    <col min="9" max="9" width="14.85546875" style="391" customWidth="1"/>
    <col min="10" max="10" width="16" style="391" customWidth="1"/>
    <col min="11" max="11" width="17.28515625" style="391" customWidth="1"/>
    <col min="12" max="12" width="16.28515625" style="391" customWidth="1"/>
    <col min="13" max="16384" width="8.85546875" style="391"/>
  </cols>
  <sheetData>
    <row r="1" spans="1:15" ht="15">
      <c r="B1" s="16"/>
      <c r="C1" s="16"/>
      <c r="D1" s="16"/>
      <c r="E1" s="16"/>
      <c r="F1" s="1"/>
      <c r="G1" s="1"/>
      <c r="H1" s="16"/>
      <c r="J1" s="38"/>
      <c r="K1" s="1272" t="s">
        <v>540</v>
      </c>
      <c r="L1" s="1272"/>
    </row>
    <row r="2" spans="1:15" ht="15.75">
      <c r="B2" s="1111" t="s">
        <v>0</v>
      </c>
      <c r="C2" s="1111"/>
      <c r="D2" s="1111"/>
      <c r="E2" s="1111"/>
      <c r="F2" s="1111"/>
      <c r="G2" s="1111"/>
      <c r="H2" s="1111"/>
      <c r="I2" s="1111"/>
      <c r="J2" s="1111"/>
    </row>
    <row r="3" spans="1:15" ht="20.25">
      <c r="B3" s="1112" t="s">
        <v>636</v>
      </c>
      <c r="C3" s="1112"/>
      <c r="D3" s="1112"/>
      <c r="E3" s="1112"/>
      <c r="F3" s="1112"/>
      <c r="G3" s="1112"/>
      <c r="H3" s="1112"/>
      <c r="I3" s="1112"/>
      <c r="J3" s="1112"/>
    </row>
    <row r="4" spans="1:15" ht="15.6" customHeight="1">
      <c r="B4" s="1618" t="s">
        <v>718</v>
      </c>
      <c r="C4" s="1618"/>
      <c r="D4" s="1618"/>
      <c r="E4" s="1618"/>
      <c r="F4" s="1618"/>
      <c r="G4" s="1618"/>
      <c r="H4" s="1618"/>
      <c r="I4" s="1618"/>
      <c r="J4" s="1618"/>
      <c r="K4" s="1618"/>
      <c r="L4" s="1618"/>
    </row>
    <row r="5" spans="1:15">
      <c r="A5" s="1092" t="s">
        <v>905</v>
      </c>
      <c r="B5" s="1092"/>
      <c r="C5" s="31"/>
    </row>
    <row r="6" spans="1:15" s="393" customFormat="1" ht="15" customHeight="1">
      <c r="A6" s="1620" t="s">
        <v>109</v>
      </c>
      <c r="B6" s="1623" t="s">
        <v>3</v>
      </c>
      <c r="C6" s="1630" t="s">
        <v>26</v>
      </c>
      <c r="D6" s="1630"/>
      <c r="E6" s="1630"/>
      <c r="F6" s="1630"/>
      <c r="G6" s="1615" t="s">
        <v>27</v>
      </c>
      <c r="H6" s="1616"/>
      <c r="I6" s="1616"/>
      <c r="J6" s="1617"/>
      <c r="K6" s="1623" t="s">
        <v>380</v>
      </c>
      <c r="L6" s="1619" t="s">
        <v>926</v>
      </c>
    </row>
    <row r="7" spans="1:15" s="393" customFormat="1" ht="31.15" customHeight="1">
      <c r="A7" s="1621"/>
      <c r="B7" s="1624"/>
      <c r="C7" s="1619" t="s">
        <v>249</v>
      </c>
      <c r="D7" s="1623" t="s">
        <v>439</v>
      </c>
      <c r="E7" s="1626" t="s">
        <v>95</v>
      </c>
      <c r="F7" s="1627"/>
      <c r="G7" s="1625" t="s">
        <v>249</v>
      </c>
      <c r="H7" s="1619" t="s">
        <v>439</v>
      </c>
      <c r="I7" s="1628" t="s">
        <v>95</v>
      </c>
      <c r="J7" s="1629"/>
      <c r="K7" s="1624"/>
      <c r="L7" s="1619"/>
    </row>
    <row r="8" spans="1:15" s="393" customFormat="1" ht="78.75" customHeight="1">
      <c r="A8" s="1622"/>
      <c r="B8" s="1625"/>
      <c r="C8" s="1619"/>
      <c r="D8" s="1625"/>
      <c r="E8" s="392" t="s">
        <v>927</v>
      </c>
      <c r="F8" s="392" t="s">
        <v>440</v>
      </c>
      <c r="G8" s="1619"/>
      <c r="H8" s="1619"/>
      <c r="I8" s="392" t="s">
        <v>927</v>
      </c>
      <c r="J8" s="392" t="s">
        <v>440</v>
      </c>
      <c r="K8" s="1625"/>
      <c r="L8" s="1619"/>
      <c r="M8" s="394"/>
      <c r="N8" s="394"/>
      <c r="O8" s="394"/>
    </row>
    <row r="9" spans="1:15" s="393" customFormat="1">
      <c r="A9" s="395">
        <v>1</v>
      </c>
      <c r="B9" s="396">
        <v>2</v>
      </c>
      <c r="C9" s="395">
        <v>3</v>
      </c>
      <c r="D9" s="396">
        <v>4</v>
      </c>
      <c r="E9" s="395">
        <v>5</v>
      </c>
      <c r="F9" s="396">
        <v>6</v>
      </c>
      <c r="G9" s="395">
        <v>7</v>
      </c>
      <c r="H9" s="396">
        <v>8</v>
      </c>
      <c r="I9" s="395">
        <v>9</v>
      </c>
      <c r="J9" s="396">
        <v>10</v>
      </c>
      <c r="K9" s="395" t="s">
        <v>547</v>
      </c>
      <c r="L9" s="396">
        <v>12</v>
      </c>
      <c r="M9" s="394"/>
      <c r="N9" s="394"/>
      <c r="O9" s="394"/>
    </row>
    <row r="10" spans="1:15" s="15" customFormat="1" ht="15.75" customHeight="1">
      <c r="A10" s="8">
        <v>1</v>
      </c>
      <c r="B10" s="47" t="s">
        <v>825</v>
      </c>
      <c r="C10" s="325">
        <v>210142.33333333331</v>
      </c>
      <c r="D10" s="325">
        <f>'[1]AT-8_Hon_CCH_Pry'!C13</f>
        <v>4310.4598313986535</v>
      </c>
      <c r="E10" s="325">
        <v>3699</v>
      </c>
      <c r="F10" s="325">
        <f>E10-D10</f>
        <v>-611.45983139865348</v>
      </c>
      <c r="G10" s="404">
        <v>133125</v>
      </c>
      <c r="H10" s="325">
        <v>0</v>
      </c>
      <c r="I10" s="323">
        <v>0</v>
      </c>
      <c r="J10" s="323">
        <v>0</v>
      </c>
      <c r="K10" s="325">
        <f>E10</f>
        <v>3699</v>
      </c>
      <c r="L10" s="405">
        <f>(K10*1000*10)/100000</f>
        <v>369.9</v>
      </c>
    </row>
    <row r="11" spans="1:15" s="15" customFormat="1" ht="15.75" customHeight="1">
      <c r="A11" s="8">
        <v>2</v>
      </c>
      <c r="B11" s="47" t="s">
        <v>826</v>
      </c>
      <c r="C11" s="325">
        <v>95472</v>
      </c>
      <c r="D11" s="325">
        <f>'[1]AT-8_Hon_CCH_Pry'!C14</f>
        <v>2450.4430251937683</v>
      </c>
      <c r="E11" s="325">
        <v>2377</v>
      </c>
      <c r="F11" s="325">
        <f t="shared" ref="F11:F42" si="0">E11-D11</f>
        <v>-73.443025193768335</v>
      </c>
      <c r="G11" s="404">
        <v>57751</v>
      </c>
      <c r="H11" s="325">
        <v>0</v>
      </c>
      <c r="I11" s="323">
        <v>0</v>
      </c>
      <c r="J11" s="323">
        <v>0</v>
      </c>
      <c r="K11" s="325">
        <f t="shared" ref="K11:K42" si="1">E11</f>
        <v>2377</v>
      </c>
      <c r="L11" s="405">
        <f t="shared" ref="L11:L42" si="2">(K11*1000*10)/100000</f>
        <v>237.7</v>
      </c>
    </row>
    <row r="12" spans="1:15" s="15" customFormat="1" ht="15.75" customHeight="1">
      <c r="A12" s="8">
        <v>3</v>
      </c>
      <c r="B12" s="47" t="s">
        <v>827</v>
      </c>
      <c r="C12" s="325">
        <v>146805.66666666666</v>
      </c>
      <c r="D12" s="325">
        <f>'[1]AT-8_Hon_CCH_Pry'!C15</f>
        <v>4387.5891515280091</v>
      </c>
      <c r="E12" s="325">
        <v>4390</v>
      </c>
      <c r="F12" s="325">
        <f t="shared" si="0"/>
        <v>2.4108484719909029</v>
      </c>
      <c r="G12" s="404">
        <v>100297.66666666667</v>
      </c>
      <c r="H12" s="325">
        <v>0</v>
      </c>
      <c r="I12" s="323">
        <v>0</v>
      </c>
      <c r="J12" s="323">
        <v>0</v>
      </c>
      <c r="K12" s="325">
        <f t="shared" si="1"/>
        <v>4390</v>
      </c>
      <c r="L12" s="405">
        <f t="shared" si="2"/>
        <v>439</v>
      </c>
    </row>
    <row r="13" spans="1:15" s="15" customFormat="1" ht="15.75" customHeight="1">
      <c r="A13" s="8">
        <v>4</v>
      </c>
      <c r="B13" s="47" t="s">
        <v>828</v>
      </c>
      <c r="C13" s="325">
        <v>129025.66666666667</v>
      </c>
      <c r="D13" s="325">
        <f>'[1]AT-8_Hon_CCH_Pry'!C16</f>
        <v>3372.4324577499515</v>
      </c>
      <c r="E13" s="325">
        <v>3445</v>
      </c>
      <c r="F13" s="325">
        <f t="shared" si="0"/>
        <v>72.567542250048518</v>
      </c>
      <c r="G13" s="404">
        <v>83625</v>
      </c>
      <c r="H13" s="325">
        <v>0</v>
      </c>
      <c r="I13" s="323">
        <v>0</v>
      </c>
      <c r="J13" s="323">
        <v>0</v>
      </c>
      <c r="K13" s="325">
        <f t="shared" si="1"/>
        <v>3445</v>
      </c>
      <c r="L13" s="405">
        <f t="shared" si="2"/>
        <v>344.5</v>
      </c>
    </row>
    <row r="14" spans="1:15" s="15" customFormat="1" ht="15.75" customHeight="1">
      <c r="A14" s="8">
        <v>5</v>
      </c>
      <c r="B14" s="47" t="s">
        <v>829</v>
      </c>
      <c r="C14" s="325">
        <v>365921</v>
      </c>
      <c r="D14" s="325">
        <f>'[1]AT-8_Hon_CCH_Pry'!C17</f>
        <v>7647.3901267021229</v>
      </c>
      <c r="E14" s="325">
        <v>7608</v>
      </c>
      <c r="F14" s="325">
        <f t="shared" si="0"/>
        <v>-39.39012670212287</v>
      </c>
      <c r="G14" s="404">
        <v>168177</v>
      </c>
      <c r="H14" s="325">
        <v>0</v>
      </c>
      <c r="I14" s="323">
        <v>0</v>
      </c>
      <c r="J14" s="323">
        <v>0</v>
      </c>
      <c r="K14" s="325">
        <f t="shared" si="1"/>
        <v>7608</v>
      </c>
      <c r="L14" s="405">
        <f t="shared" si="2"/>
        <v>760.8</v>
      </c>
    </row>
    <row r="15" spans="1:15" s="15" customFormat="1" ht="15.75" customHeight="1">
      <c r="A15" s="8">
        <v>6</v>
      </c>
      <c r="B15" s="47" t="s">
        <v>830</v>
      </c>
      <c r="C15" s="325">
        <v>64434</v>
      </c>
      <c r="D15" s="325">
        <f>'[1]AT-8_Hon_CCH_Pry'!C18</f>
        <v>3071.2492431149317</v>
      </c>
      <c r="E15" s="325">
        <v>2923</v>
      </c>
      <c r="F15" s="325">
        <f t="shared" si="0"/>
        <v>-148.24924311493169</v>
      </c>
      <c r="G15" s="404">
        <v>43539.666666666664</v>
      </c>
      <c r="H15" s="325">
        <v>0</v>
      </c>
      <c r="I15" s="323">
        <v>0</v>
      </c>
      <c r="J15" s="323">
        <v>0</v>
      </c>
      <c r="K15" s="325">
        <f t="shared" si="1"/>
        <v>2923</v>
      </c>
      <c r="L15" s="405">
        <f t="shared" si="2"/>
        <v>292.3</v>
      </c>
    </row>
    <row r="16" spans="1:15" s="15" customFormat="1" ht="15.75" customHeight="1">
      <c r="A16" s="8">
        <v>7</v>
      </c>
      <c r="B16" s="47" t="s">
        <v>831</v>
      </c>
      <c r="C16" s="325">
        <v>97205.666666666672</v>
      </c>
      <c r="D16" s="325">
        <f>'[1]AT-8_Hon_CCH_Pry'!C19</f>
        <v>2134.9177527189854</v>
      </c>
      <c r="E16" s="325">
        <v>2070</v>
      </c>
      <c r="F16" s="325">
        <f t="shared" si="0"/>
        <v>-64.917752718985412</v>
      </c>
      <c r="G16" s="404">
        <v>50860</v>
      </c>
      <c r="H16" s="325">
        <v>0</v>
      </c>
      <c r="I16" s="323">
        <v>0</v>
      </c>
      <c r="J16" s="323">
        <v>0</v>
      </c>
      <c r="K16" s="325">
        <f t="shared" si="1"/>
        <v>2070</v>
      </c>
      <c r="L16" s="405">
        <f t="shared" si="2"/>
        <v>207</v>
      </c>
    </row>
    <row r="17" spans="1:12" s="15" customFormat="1" ht="15.75" customHeight="1">
      <c r="A17" s="8">
        <v>8</v>
      </c>
      <c r="B17" s="47" t="s">
        <v>832</v>
      </c>
      <c r="C17" s="325">
        <v>166185.33333333331</v>
      </c>
      <c r="D17" s="325">
        <f>'[1]AT-8_Hon_CCH_Pry'!C20</f>
        <v>1884.4654704614732</v>
      </c>
      <c r="E17" s="325">
        <v>3051</v>
      </c>
      <c r="F17" s="325">
        <f t="shared" si="0"/>
        <v>1166.5345295385268</v>
      </c>
      <c r="G17" s="404">
        <v>112292</v>
      </c>
      <c r="H17" s="325">
        <v>0</v>
      </c>
      <c r="I17" s="323">
        <v>0</v>
      </c>
      <c r="J17" s="323">
        <v>0</v>
      </c>
      <c r="K17" s="325">
        <f t="shared" si="1"/>
        <v>3051</v>
      </c>
      <c r="L17" s="405">
        <f t="shared" si="2"/>
        <v>305.10000000000002</v>
      </c>
    </row>
    <row r="18" spans="1:12" s="15" customFormat="1" ht="15.75" customHeight="1">
      <c r="A18" s="8">
        <v>9</v>
      </c>
      <c r="B18" s="47" t="s">
        <v>833</v>
      </c>
      <c r="C18" s="325">
        <v>172457.66666666669</v>
      </c>
      <c r="D18" s="325">
        <f>'[1]AT-8_Hon_CCH_Pry'!C21</f>
        <v>5152.8964952862261</v>
      </c>
      <c r="E18" s="325">
        <v>5272</v>
      </c>
      <c r="F18" s="325">
        <f t="shared" si="0"/>
        <v>119.10350471377387</v>
      </c>
      <c r="G18" s="404">
        <v>105600</v>
      </c>
      <c r="H18" s="325">
        <v>0</v>
      </c>
      <c r="I18" s="323">
        <v>0</v>
      </c>
      <c r="J18" s="323">
        <v>0</v>
      </c>
      <c r="K18" s="325">
        <f t="shared" si="1"/>
        <v>5272</v>
      </c>
      <c r="L18" s="405">
        <f t="shared" si="2"/>
        <v>527.20000000000005</v>
      </c>
    </row>
    <row r="19" spans="1:12" s="15" customFormat="1" ht="15.75" customHeight="1">
      <c r="A19" s="8">
        <v>10</v>
      </c>
      <c r="B19" s="47" t="s">
        <v>834</v>
      </c>
      <c r="C19" s="325">
        <v>32902.333333333336</v>
      </c>
      <c r="D19" s="325">
        <f>'[1]AT-8_Hon_CCH_Pry'!C22</f>
        <v>1349.5998793053452</v>
      </c>
      <c r="E19" s="325">
        <v>1221</v>
      </c>
      <c r="F19" s="325">
        <f t="shared" si="0"/>
        <v>-128.59987930534521</v>
      </c>
      <c r="G19" s="404">
        <v>17011.666666666668</v>
      </c>
      <c r="H19" s="325">
        <v>0</v>
      </c>
      <c r="I19" s="323">
        <v>0</v>
      </c>
      <c r="J19" s="323">
        <v>0</v>
      </c>
      <c r="K19" s="325">
        <f t="shared" si="1"/>
        <v>1221</v>
      </c>
      <c r="L19" s="405">
        <f t="shared" si="2"/>
        <v>122.1</v>
      </c>
    </row>
    <row r="20" spans="1:12" s="15" customFormat="1" ht="15.75" customHeight="1">
      <c r="A20" s="8">
        <v>11</v>
      </c>
      <c r="B20" s="47" t="s">
        <v>835</v>
      </c>
      <c r="C20" s="325">
        <v>51670.333333333336</v>
      </c>
      <c r="D20" s="325">
        <f>'[1]AT-8_Hon_CCH_Pry'!C23</f>
        <v>698.66310333701915</v>
      </c>
      <c r="E20" s="325">
        <v>1165</v>
      </c>
      <c r="F20" s="325">
        <f t="shared" si="0"/>
        <v>466.33689666298085</v>
      </c>
      <c r="G20" s="404">
        <v>54439</v>
      </c>
      <c r="H20" s="325">
        <v>0</v>
      </c>
      <c r="I20" s="323">
        <v>0</v>
      </c>
      <c r="J20" s="323">
        <v>0</v>
      </c>
      <c r="K20" s="325">
        <f t="shared" si="1"/>
        <v>1165</v>
      </c>
      <c r="L20" s="405">
        <f t="shared" si="2"/>
        <v>116.5</v>
      </c>
    </row>
    <row r="21" spans="1:12" s="15" customFormat="1" ht="15.75" customHeight="1">
      <c r="A21" s="8">
        <v>12</v>
      </c>
      <c r="B21" s="47" t="s">
        <v>836</v>
      </c>
      <c r="C21" s="325">
        <v>138176.33333333334</v>
      </c>
      <c r="D21" s="325">
        <f>'[1]AT-8_Hon_CCH_Pry'!C24</f>
        <v>4164.7500921159881</v>
      </c>
      <c r="E21" s="325">
        <v>3993</v>
      </c>
      <c r="F21" s="325">
        <f t="shared" si="0"/>
        <v>-171.75009211598808</v>
      </c>
      <c r="G21" s="404">
        <v>80212.666666666672</v>
      </c>
      <c r="H21" s="325">
        <v>0</v>
      </c>
      <c r="I21" s="323">
        <v>0</v>
      </c>
      <c r="J21" s="323">
        <v>0</v>
      </c>
      <c r="K21" s="325">
        <f t="shared" si="1"/>
        <v>3993</v>
      </c>
      <c r="L21" s="405">
        <f t="shared" si="2"/>
        <v>399.3</v>
      </c>
    </row>
    <row r="22" spans="1:12" s="15" customFormat="1" ht="15.75" customHeight="1">
      <c r="A22" s="8">
        <v>13</v>
      </c>
      <c r="B22" s="47" t="s">
        <v>837</v>
      </c>
      <c r="C22" s="325">
        <v>252566.33333333334</v>
      </c>
      <c r="D22" s="325">
        <f>'[1]AT-8_Hon_CCH_Pry'!C25</f>
        <v>5359.8319012599477</v>
      </c>
      <c r="E22" s="325">
        <v>5470</v>
      </c>
      <c r="F22" s="325">
        <f t="shared" si="0"/>
        <v>110.1680987400523</v>
      </c>
      <c r="G22" s="404">
        <v>127670</v>
      </c>
      <c r="H22" s="325">
        <v>0</v>
      </c>
      <c r="I22" s="323">
        <v>0</v>
      </c>
      <c r="J22" s="323">
        <v>0</v>
      </c>
      <c r="K22" s="325">
        <f t="shared" si="1"/>
        <v>5470</v>
      </c>
      <c r="L22" s="405">
        <f t="shared" si="2"/>
        <v>547</v>
      </c>
    </row>
    <row r="23" spans="1:12" s="15" customFormat="1" ht="15.75" customHeight="1">
      <c r="A23" s="8">
        <v>14</v>
      </c>
      <c r="B23" s="47" t="s">
        <v>838</v>
      </c>
      <c r="C23" s="325">
        <v>64064</v>
      </c>
      <c r="D23" s="325">
        <f>'[1]AT-8_Hon_CCH_Pry'!C26</f>
        <v>1028.722781121247</v>
      </c>
      <c r="E23" s="325">
        <v>2045</v>
      </c>
      <c r="F23" s="325">
        <f t="shared" si="0"/>
        <v>1016.277218878753</v>
      </c>
      <c r="G23" s="404">
        <v>33629.666666666672</v>
      </c>
      <c r="H23" s="325">
        <v>0</v>
      </c>
      <c r="I23" s="323">
        <v>0</v>
      </c>
      <c r="J23" s="323">
        <v>0</v>
      </c>
      <c r="K23" s="325">
        <f t="shared" si="1"/>
        <v>2045</v>
      </c>
      <c r="L23" s="405">
        <f t="shared" si="2"/>
        <v>204.5</v>
      </c>
    </row>
    <row r="24" spans="1:12" customFormat="1" ht="15.75" customHeight="1">
      <c r="A24" s="8">
        <v>15</v>
      </c>
      <c r="B24" s="47" t="s">
        <v>839</v>
      </c>
      <c r="C24" s="325">
        <v>120024</v>
      </c>
      <c r="D24" s="325">
        <f>'[1]AT-8_Hon_CCH_Pry'!C27</f>
        <v>2387.1252665780867</v>
      </c>
      <c r="E24" s="325">
        <v>2183</v>
      </c>
      <c r="F24" s="325">
        <f t="shared" si="0"/>
        <v>-204.12526657808667</v>
      </c>
      <c r="G24" s="404">
        <v>71302.333333333328</v>
      </c>
      <c r="H24" s="325">
        <v>0</v>
      </c>
      <c r="I24" s="323">
        <v>0</v>
      </c>
      <c r="J24" s="323">
        <v>0</v>
      </c>
      <c r="K24" s="325">
        <f t="shared" si="1"/>
        <v>2183</v>
      </c>
      <c r="L24" s="405">
        <f t="shared" si="2"/>
        <v>218.3</v>
      </c>
    </row>
    <row r="25" spans="1:12" customFormat="1" ht="15.75" customHeight="1">
      <c r="A25" s="8">
        <v>16</v>
      </c>
      <c r="B25" s="47" t="s">
        <v>840</v>
      </c>
      <c r="C25" s="325">
        <v>38205</v>
      </c>
      <c r="D25" s="325">
        <f>'[1]AT-8_Hon_CCH_Pry'!C28</f>
        <v>883.06098984825576</v>
      </c>
      <c r="E25" s="325">
        <v>950</v>
      </c>
      <c r="F25" s="325">
        <f t="shared" si="0"/>
        <v>66.939010151744242</v>
      </c>
      <c r="G25" s="404">
        <v>17388</v>
      </c>
      <c r="H25" s="325">
        <v>0</v>
      </c>
      <c r="I25" s="323">
        <v>0</v>
      </c>
      <c r="J25" s="323">
        <v>0</v>
      </c>
      <c r="K25" s="325">
        <f t="shared" si="1"/>
        <v>950</v>
      </c>
      <c r="L25" s="405">
        <f t="shared" si="2"/>
        <v>95</v>
      </c>
    </row>
    <row r="26" spans="1:12" customFormat="1" ht="15.75" customHeight="1">
      <c r="A26" s="8">
        <v>17</v>
      </c>
      <c r="B26" s="47" t="s">
        <v>841</v>
      </c>
      <c r="C26" s="325">
        <v>180381</v>
      </c>
      <c r="D26" s="325">
        <f>'[1]AT-8_Hon_CCH_Pry'!C29</f>
        <v>1964.8619240475114</v>
      </c>
      <c r="E26" s="325">
        <v>3361</v>
      </c>
      <c r="F26" s="325">
        <f t="shared" si="0"/>
        <v>1396.1380759524886</v>
      </c>
      <c r="G26" s="404">
        <v>101776</v>
      </c>
      <c r="H26" s="325">
        <v>0</v>
      </c>
      <c r="I26" s="323">
        <v>0</v>
      </c>
      <c r="J26" s="323">
        <v>0</v>
      </c>
      <c r="K26" s="325">
        <f t="shared" si="1"/>
        <v>3361</v>
      </c>
      <c r="L26" s="405">
        <f t="shared" si="2"/>
        <v>336.1</v>
      </c>
    </row>
    <row r="27" spans="1:12" customFormat="1" ht="15.75" customHeight="1">
      <c r="A27" s="8">
        <v>18</v>
      </c>
      <c r="B27" s="47" t="s">
        <v>842</v>
      </c>
      <c r="C27" s="325">
        <v>112737</v>
      </c>
      <c r="D27" s="325">
        <f>'[1]AT-8_Hon_CCH_Pry'!C30</f>
        <v>2500.6402276329377</v>
      </c>
      <c r="E27" s="325">
        <v>2541</v>
      </c>
      <c r="F27" s="325">
        <f t="shared" si="0"/>
        <v>40.359772367062305</v>
      </c>
      <c r="G27" s="404">
        <v>58890.666666666664</v>
      </c>
      <c r="H27" s="325">
        <v>0</v>
      </c>
      <c r="I27" s="323">
        <v>0</v>
      </c>
      <c r="J27" s="323">
        <v>0</v>
      </c>
      <c r="K27" s="325">
        <f t="shared" si="1"/>
        <v>2541</v>
      </c>
      <c r="L27" s="405">
        <f t="shared" si="2"/>
        <v>254.1</v>
      </c>
    </row>
    <row r="28" spans="1:12" customFormat="1" ht="15.75" customHeight="1">
      <c r="A28" s="8">
        <v>19</v>
      </c>
      <c r="B28" s="47" t="s">
        <v>843</v>
      </c>
      <c r="C28" s="325">
        <v>105828.33333333333</v>
      </c>
      <c r="D28" s="325">
        <f>'[1]AT-8_Hon_CCH_Pry'!C31</f>
        <v>2216.1802347003718</v>
      </c>
      <c r="E28" s="325">
        <v>2650</v>
      </c>
      <c r="F28" s="325">
        <f t="shared" si="0"/>
        <v>433.81976529962822</v>
      </c>
      <c r="G28" s="404">
        <v>70479</v>
      </c>
      <c r="H28" s="325">
        <v>0</v>
      </c>
      <c r="I28" s="323">
        <v>0</v>
      </c>
      <c r="J28" s="323">
        <v>0</v>
      </c>
      <c r="K28" s="325">
        <f t="shared" si="1"/>
        <v>2650</v>
      </c>
      <c r="L28" s="405">
        <f t="shared" si="2"/>
        <v>265</v>
      </c>
    </row>
    <row r="29" spans="1:12" customFormat="1" ht="15.75" customHeight="1">
      <c r="A29" s="8">
        <v>20</v>
      </c>
      <c r="B29" s="47" t="s">
        <v>844</v>
      </c>
      <c r="C29" s="325">
        <v>103739.33333333333</v>
      </c>
      <c r="D29" s="325">
        <f>'[1]AT-8_Hon_CCH_Pry'!C32</f>
        <v>3989.734940431661</v>
      </c>
      <c r="E29" s="325">
        <v>3732</v>
      </c>
      <c r="F29" s="325">
        <f t="shared" si="0"/>
        <v>-257.73494043166102</v>
      </c>
      <c r="G29" s="404">
        <v>65911</v>
      </c>
      <c r="H29" s="325">
        <v>0</v>
      </c>
      <c r="I29" s="323">
        <v>0</v>
      </c>
      <c r="J29" s="323">
        <v>0</v>
      </c>
      <c r="K29" s="325">
        <f t="shared" si="1"/>
        <v>3732</v>
      </c>
      <c r="L29" s="405">
        <f>(K29*1000*10)/100000</f>
        <v>373.2</v>
      </c>
    </row>
    <row r="30" spans="1:12" customFormat="1" ht="15.75" customHeight="1">
      <c r="A30" s="8">
        <v>21</v>
      </c>
      <c r="B30" s="47" t="s">
        <v>845</v>
      </c>
      <c r="C30" s="325">
        <v>175051.66666666669</v>
      </c>
      <c r="D30" s="325">
        <f>'[1]AT-8_Hon_CCH_Pry'!C33</f>
        <v>4050.6207125325409</v>
      </c>
      <c r="E30" s="325">
        <v>4149</v>
      </c>
      <c r="F30" s="325">
        <f t="shared" si="0"/>
        <v>98.379287467459108</v>
      </c>
      <c r="G30" s="404">
        <v>113387</v>
      </c>
      <c r="H30" s="325">
        <v>0</v>
      </c>
      <c r="I30" s="323">
        <v>0</v>
      </c>
      <c r="J30" s="323">
        <v>0</v>
      </c>
      <c r="K30" s="325">
        <f t="shared" si="1"/>
        <v>4149</v>
      </c>
      <c r="L30" s="405">
        <f t="shared" si="2"/>
        <v>414.9</v>
      </c>
    </row>
    <row r="31" spans="1:12" customFormat="1" ht="15.75" customHeight="1">
      <c r="A31" s="8">
        <v>22</v>
      </c>
      <c r="B31" s="47" t="s">
        <v>846</v>
      </c>
      <c r="C31" s="325">
        <v>117578.33333333334</v>
      </c>
      <c r="D31" s="325">
        <f>'[1]AT-8_Hon_CCH_Pry'!C34</f>
        <v>3101.8786829323308</v>
      </c>
      <c r="E31" s="325">
        <v>2645</v>
      </c>
      <c r="F31" s="325">
        <f t="shared" si="0"/>
        <v>-456.87868293233078</v>
      </c>
      <c r="G31" s="404">
        <v>79476</v>
      </c>
      <c r="H31" s="325">
        <v>0</v>
      </c>
      <c r="I31" s="323">
        <v>0</v>
      </c>
      <c r="J31" s="323">
        <v>0</v>
      </c>
      <c r="K31" s="325">
        <f t="shared" si="1"/>
        <v>2645</v>
      </c>
      <c r="L31" s="405">
        <f t="shared" si="2"/>
        <v>264.5</v>
      </c>
    </row>
    <row r="32" spans="1:12" customFormat="1" ht="15.75" customHeight="1">
      <c r="A32" s="8">
        <v>23</v>
      </c>
      <c r="B32" s="47" t="s">
        <v>847</v>
      </c>
      <c r="C32" s="325">
        <v>109217.33333333333</v>
      </c>
      <c r="D32" s="325">
        <f>'[1]AT-8_Hon_CCH_Pry'!C35</f>
        <v>2628.2798651198623</v>
      </c>
      <c r="E32" s="325">
        <v>2899</v>
      </c>
      <c r="F32" s="325">
        <f t="shared" si="0"/>
        <v>270.72013488013772</v>
      </c>
      <c r="G32" s="404">
        <v>89236.333333333328</v>
      </c>
      <c r="H32" s="325">
        <v>0</v>
      </c>
      <c r="I32" s="323">
        <v>0</v>
      </c>
      <c r="J32" s="323">
        <v>0</v>
      </c>
      <c r="K32" s="325">
        <f t="shared" si="1"/>
        <v>2899</v>
      </c>
      <c r="L32" s="405">
        <f t="shared" si="2"/>
        <v>289.89999999999998</v>
      </c>
    </row>
    <row r="33" spans="1:13" customFormat="1" ht="15.75" customHeight="1">
      <c r="A33" s="8">
        <v>24</v>
      </c>
      <c r="B33" s="47" t="s">
        <v>848</v>
      </c>
      <c r="C33" s="325">
        <v>99338</v>
      </c>
      <c r="D33" s="325">
        <f>'[1]AT-8_Hon_CCH_Pry'!C36</f>
        <v>1434.2057839762856</v>
      </c>
      <c r="E33" s="325">
        <v>2323</v>
      </c>
      <c r="F33" s="325">
        <f t="shared" si="0"/>
        <v>888.7942160237144</v>
      </c>
      <c r="G33" s="404">
        <v>55771</v>
      </c>
      <c r="H33" s="325">
        <v>0</v>
      </c>
      <c r="I33" s="323">
        <v>0</v>
      </c>
      <c r="J33" s="323">
        <v>0</v>
      </c>
      <c r="K33" s="325">
        <f t="shared" si="1"/>
        <v>2323</v>
      </c>
      <c r="L33" s="405">
        <f t="shared" si="2"/>
        <v>232.3</v>
      </c>
    </row>
    <row r="34" spans="1:13" customFormat="1" ht="15.75" customHeight="1">
      <c r="A34" s="8">
        <v>25</v>
      </c>
      <c r="B34" s="47" t="s">
        <v>849</v>
      </c>
      <c r="C34" s="325">
        <v>43460</v>
      </c>
      <c r="D34" s="325">
        <f>'[1]AT-8_Hon_CCH_Pry'!C37</f>
        <v>823.64389308352395</v>
      </c>
      <c r="E34" s="325">
        <v>800</v>
      </c>
      <c r="F34" s="325">
        <f t="shared" si="0"/>
        <v>-23.643893083523949</v>
      </c>
      <c r="G34" s="404">
        <v>30167.333333333332</v>
      </c>
      <c r="H34" s="325">
        <v>0</v>
      </c>
      <c r="I34" s="323">
        <v>0</v>
      </c>
      <c r="J34" s="323">
        <v>0</v>
      </c>
      <c r="K34" s="325">
        <f t="shared" si="1"/>
        <v>800</v>
      </c>
      <c r="L34" s="405">
        <f t="shared" si="2"/>
        <v>80</v>
      </c>
    </row>
    <row r="35" spans="1:13" customFormat="1" ht="15.75" customHeight="1">
      <c r="A35" s="8">
        <v>26</v>
      </c>
      <c r="B35" s="47" t="s">
        <v>850</v>
      </c>
      <c r="C35" s="325">
        <v>55576</v>
      </c>
      <c r="D35" s="325">
        <f>'[1]AT-8_Hon_CCH_Pry'!C38</f>
        <v>1803.001556998759</v>
      </c>
      <c r="E35" s="325">
        <v>2564</v>
      </c>
      <c r="F35" s="325">
        <f t="shared" si="0"/>
        <v>760.99844300124096</v>
      </c>
      <c r="G35" s="404">
        <v>31986</v>
      </c>
      <c r="H35" s="325">
        <v>0</v>
      </c>
      <c r="I35" s="323">
        <v>0</v>
      </c>
      <c r="J35" s="323">
        <v>0</v>
      </c>
      <c r="K35" s="325">
        <f t="shared" si="1"/>
        <v>2564</v>
      </c>
      <c r="L35" s="405">
        <f t="shared" si="2"/>
        <v>256.39999999999998</v>
      </c>
    </row>
    <row r="36" spans="1:13" customFormat="1" ht="15.75" customHeight="1">
      <c r="A36" s="8">
        <v>27</v>
      </c>
      <c r="B36" s="47" t="s">
        <v>851</v>
      </c>
      <c r="C36" s="325">
        <v>81642</v>
      </c>
      <c r="D36" s="325">
        <f>'[1]AT-8_Hon_CCH_Pry'!C39</f>
        <v>3716.019383436987</v>
      </c>
      <c r="E36" s="325">
        <v>3556</v>
      </c>
      <c r="F36" s="325">
        <f t="shared" si="0"/>
        <v>-160.01938343698703</v>
      </c>
      <c r="G36" s="404">
        <v>46473</v>
      </c>
      <c r="H36" s="325">
        <v>0</v>
      </c>
      <c r="I36" s="323">
        <v>0</v>
      </c>
      <c r="J36" s="323">
        <v>0</v>
      </c>
      <c r="K36" s="325">
        <f t="shared" si="1"/>
        <v>3556</v>
      </c>
      <c r="L36" s="405">
        <f t="shared" si="2"/>
        <v>355.6</v>
      </c>
    </row>
    <row r="37" spans="1:13" customFormat="1" ht="15.75" customHeight="1">
      <c r="A37" s="8">
        <v>28</v>
      </c>
      <c r="B37" s="47" t="s">
        <v>852</v>
      </c>
      <c r="C37" s="325">
        <v>43477.666666666664</v>
      </c>
      <c r="D37" s="325">
        <f>'[1]AT-8_Hon_CCH_Pry'!C40</f>
        <v>1760.3268163597995</v>
      </c>
      <c r="E37" s="325">
        <v>873</v>
      </c>
      <c r="F37" s="325">
        <f t="shared" si="0"/>
        <v>-887.32681635979952</v>
      </c>
      <c r="G37" s="404">
        <v>27631.333333333332</v>
      </c>
      <c r="H37" s="325">
        <v>0</v>
      </c>
      <c r="I37" s="323">
        <v>0</v>
      </c>
      <c r="J37" s="323">
        <v>0</v>
      </c>
      <c r="K37" s="325">
        <f t="shared" si="1"/>
        <v>873</v>
      </c>
      <c r="L37" s="405">
        <f t="shared" si="2"/>
        <v>87.3</v>
      </c>
    </row>
    <row r="38" spans="1:13" customFormat="1" ht="15.75" customHeight="1">
      <c r="A38" s="8">
        <v>29</v>
      </c>
      <c r="B38" s="47" t="s">
        <v>853</v>
      </c>
      <c r="C38" s="325">
        <v>94034.666666666672</v>
      </c>
      <c r="D38" s="325">
        <f>'[1]AT-8_Hon_CCH_Pry'!C41</f>
        <v>3633.5994573530888</v>
      </c>
      <c r="E38" s="325">
        <v>3776</v>
      </c>
      <c r="F38" s="325">
        <f t="shared" si="0"/>
        <v>142.40054264691116</v>
      </c>
      <c r="G38" s="404">
        <v>41809.666666666664</v>
      </c>
      <c r="H38" s="325">
        <v>0</v>
      </c>
      <c r="I38" s="323">
        <v>0</v>
      </c>
      <c r="J38" s="323">
        <v>0</v>
      </c>
      <c r="K38" s="325">
        <f t="shared" si="1"/>
        <v>3776</v>
      </c>
      <c r="L38" s="405">
        <f t="shared" si="2"/>
        <v>377.6</v>
      </c>
    </row>
    <row r="39" spans="1:13" customFormat="1" ht="15.75" customHeight="1">
      <c r="A39" s="8">
        <v>30</v>
      </c>
      <c r="B39" s="47" t="s">
        <v>854</v>
      </c>
      <c r="C39" s="325">
        <v>35442.666666666664</v>
      </c>
      <c r="D39" s="325">
        <f>'[1]AT-8_Hon_CCH_Pry'!C42</f>
        <v>372.41596230502114</v>
      </c>
      <c r="E39" s="325">
        <v>1960</v>
      </c>
      <c r="F39" s="325">
        <f t="shared" si="0"/>
        <v>1587.5840376949789</v>
      </c>
      <c r="G39" s="404">
        <v>35169.666666666664</v>
      </c>
      <c r="H39" s="325">
        <v>0</v>
      </c>
      <c r="I39" s="323">
        <v>0</v>
      </c>
      <c r="J39" s="323">
        <v>0</v>
      </c>
      <c r="K39" s="325">
        <f t="shared" si="1"/>
        <v>1960</v>
      </c>
      <c r="L39" s="405">
        <f t="shared" si="2"/>
        <v>196</v>
      </c>
    </row>
    <row r="40" spans="1:13" customFormat="1" ht="15.75" customHeight="1">
      <c r="A40" s="8">
        <v>31</v>
      </c>
      <c r="B40" s="47" t="s">
        <v>855</v>
      </c>
      <c r="C40" s="325">
        <v>75580.666666666672</v>
      </c>
      <c r="D40" s="325">
        <f>'[1]AT-8_Hon_CCH_Pry'!C43</f>
        <v>1843.7642723953506</v>
      </c>
      <c r="E40" s="325">
        <v>1794</v>
      </c>
      <c r="F40" s="325">
        <f t="shared" si="0"/>
        <v>-49.764272395350645</v>
      </c>
      <c r="G40" s="404">
        <v>57337</v>
      </c>
      <c r="H40" s="325">
        <v>0</v>
      </c>
      <c r="I40" s="323">
        <v>0</v>
      </c>
      <c r="J40" s="323">
        <v>0</v>
      </c>
      <c r="K40" s="325">
        <f t="shared" si="1"/>
        <v>1794</v>
      </c>
      <c r="L40" s="405">
        <f t="shared" si="2"/>
        <v>179.4</v>
      </c>
    </row>
    <row r="41" spans="1:13" customFormat="1" ht="15.75" customHeight="1">
      <c r="A41" s="8">
        <v>32</v>
      </c>
      <c r="B41" s="47" t="s">
        <v>856</v>
      </c>
      <c r="C41" s="325">
        <v>87316</v>
      </c>
      <c r="D41" s="325">
        <f>'[1]AT-8_Hon_CCH_Pry'!C44</f>
        <v>3256.0958452898026</v>
      </c>
      <c r="E41" s="325">
        <v>3209</v>
      </c>
      <c r="F41" s="325">
        <f t="shared" si="0"/>
        <v>-47.095845289802583</v>
      </c>
      <c r="G41" s="404">
        <v>50938</v>
      </c>
      <c r="H41" s="325">
        <v>0</v>
      </c>
      <c r="I41" s="323">
        <v>0</v>
      </c>
      <c r="J41" s="323">
        <v>0</v>
      </c>
      <c r="K41" s="325">
        <f t="shared" si="1"/>
        <v>3209</v>
      </c>
      <c r="L41" s="405">
        <f t="shared" si="2"/>
        <v>320.89999999999998</v>
      </c>
    </row>
    <row r="42" spans="1:13" customFormat="1" ht="15.75" customHeight="1">
      <c r="A42" s="8">
        <v>33</v>
      </c>
      <c r="B42" s="47" t="s">
        <v>857</v>
      </c>
      <c r="C42" s="325">
        <v>60315</v>
      </c>
      <c r="D42" s="325">
        <f>'[1]AT-8_Hon_CCH_Pry'!C45</f>
        <v>1752.1865767465749</v>
      </c>
      <c r="E42" s="325">
        <v>1635</v>
      </c>
      <c r="F42" s="325">
        <f t="shared" si="0"/>
        <v>-117.18657674657493</v>
      </c>
      <c r="G42" s="404">
        <v>34230.666666666664</v>
      </c>
      <c r="H42" s="325">
        <v>0</v>
      </c>
      <c r="I42" s="323">
        <v>0</v>
      </c>
      <c r="J42" s="323">
        <v>0</v>
      </c>
      <c r="K42" s="325">
        <f t="shared" si="1"/>
        <v>1635</v>
      </c>
      <c r="L42" s="405">
        <f t="shared" si="2"/>
        <v>163.5</v>
      </c>
    </row>
    <row r="43" spans="1:13" s="398" customFormat="1" ht="15.75" customHeight="1">
      <c r="A43" s="84" t="s">
        <v>18</v>
      </c>
      <c r="B43" s="400"/>
      <c r="C43" s="401">
        <f>SUM(C10:C42)</f>
        <v>3725973.3333333326</v>
      </c>
      <c r="D43" s="401">
        <f t="shared" ref="D43:L43" si="3">SUM(D10:D42)</f>
        <v>91131.05370306244</v>
      </c>
      <c r="E43" s="401">
        <f t="shared" si="3"/>
        <v>96329</v>
      </c>
      <c r="F43" s="401">
        <f t="shared" si="3"/>
        <v>5197.94629693758</v>
      </c>
      <c r="G43" s="401">
        <f t="shared" si="3"/>
        <v>2247590.333333333</v>
      </c>
      <c r="H43" s="402">
        <f t="shared" si="3"/>
        <v>0</v>
      </c>
      <c r="I43" s="402">
        <f t="shared" si="3"/>
        <v>0</v>
      </c>
      <c r="J43" s="402">
        <f t="shared" si="3"/>
        <v>0</v>
      </c>
      <c r="K43" s="401">
        <f t="shared" si="3"/>
        <v>96329</v>
      </c>
      <c r="L43" s="403">
        <f t="shared" si="3"/>
        <v>9632.8999999999978</v>
      </c>
    </row>
    <row r="44" spans="1:13" ht="17.25" customHeight="1">
      <c r="A44" s="1631" t="s">
        <v>116</v>
      </c>
      <c r="B44" s="1632"/>
      <c r="C44" s="1632"/>
      <c r="D44" s="1632"/>
      <c r="E44" s="1632"/>
      <c r="F44" s="1632"/>
      <c r="G44" s="1632"/>
      <c r="H44" s="1632"/>
      <c r="I44" s="1632"/>
      <c r="J44" s="1632"/>
      <c r="K44" s="1633"/>
      <c r="L44" s="1633"/>
    </row>
    <row r="46" spans="1:13" s="994" customFormat="1" ht="15.6" customHeight="1">
      <c r="A46" s="15" t="s">
        <v>12</v>
      </c>
      <c r="B46" s="15"/>
      <c r="C46" s="15"/>
      <c r="J46" s="1040" t="s">
        <v>1106</v>
      </c>
      <c r="K46" s="1040"/>
      <c r="L46" s="1040"/>
      <c r="M46" s="1040"/>
    </row>
    <row r="47" spans="1:13" s="994" customFormat="1" ht="15.6" customHeight="1">
      <c r="J47" s="1040" t="s">
        <v>481</v>
      </c>
      <c r="K47" s="1040"/>
      <c r="L47" s="1040"/>
      <c r="M47" s="1040"/>
    </row>
    <row r="48" spans="1:13" s="994" customFormat="1" ht="15.6" customHeight="1">
      <c r="J48" s="1040" t="s">
        <v>1107</v>
      </c>
      <c r="K48" s="1040"/>
      <c r="L48" s="1040"/>
      <c r="M48" s="1040"/>
    </row>
    <row r="49" spans="2:13" s="16" customFormat="1" ht="12.75">
      <c r="B49" s="15"/>
      <c r="C49" s="15"/>
      <c r="D49" s="15"/>
      <c r="E49" s="15"/>
      <c r="I49" s="33"/>
      <c r="J49" s="33"/>
      <c r="K49" s="33"/>
      <c r="L49" s="33"/>
      <c r="M49" s="33"/>
    </row>
    <row r="50" spans="2:13">
      <c r="I50" s="33"/>
      <c r="J50" s="15"/>
      <c r="K50" s="15"/>
      <c r="L50" s="15"/>
      <c r="M50" s="15"/>
    </row>
  </sheetData>
  <mergeCells count="21">
    <mergeCell ref="H7:H8"/>
    <mergeCell ref="G7:G8"/>
    <mergeCell ref="C6:F6"/>
    <mergeCell ref="D7:D8"/>
    <mergeCell ref="A44:L44"/>
    <mergeCell ref="J46:M46"/>
    <mergeCell ref="J47:M47"/>
    <mergeCell ref="J48:M48"/>
    <mergeCell ref="K1:L1"/>
    <mergeCell ref="B2:J2"/>
    <mergeCell ref="B3:J3"/>
    <mergeCell ref="G6:J6"/>
    <mergeCell ref="A5:B5"/>
    <mergeCell ref="B4:L4"/>
    <mergeCell ref="L6:L8"/>
    <mergeCell ref="A6:A8"/>
    <mergeCell ref="B6:B8"/>
    <mergeCell ref="K6:K8"/>
    <mergeCell ref="E7:F7"/>
    <mergeCell ref="I7:J7"/>
    <mergeCell ref="C7:C8"/>
  </mergeCells>
  <phoneticPr fontId="0" type="noConversion"/>
  <printOptions horizontalCentered="1"/>
  <pageMargins left="0.70866141732283472" right="0.70866141732283472" top="0.63" bottom="0" header="0.79" footer="0.31496062992125984"/>
  <pageSetup paperSize="9" scale="80" orientation="landscape" r:id="rId1"/>
</worksheet>
</file>

<file path=xl/worksheets/sheet67.xml><?xml version="1.0" encoding="utf-8"?>
<worksheet xmlns="http://schemas.openxmlformats.org/spreadsheetml/2006/main" xmlns:r="http://schemas.openxmlformats.org/officeDocument/2006/relationships">
  <sheetPr>
    <pageSetUpPr fitToPage="1"/>
  </sheetPr>
  <dimension ref="A1:IO30"/>
  <sheetViews>
    <sheetView topLeftCell="B13" zoomScale="90" zoomScaleNormal="90" zoomScaleSheetLayoutView="100" workbookViewId="0">
      <selection activeCell="I26" sqref="I26"/>
    </sheetView>
  </sheetViews>
  <sheetFormatPr defaultColWidth="9.140625" defaultRowHeight="12.75"/>
  <cols>
    <col min="1" max="1" width="6.140625" style="147" customWidth="1"/>
    <col min="2" max="2" width="17.7109375" style="147" customWidth="1"/>
    <col min="3" max="3" width="12.28515625" style="147" customWidth="1"/>
    <col min="4" max="5" width="7.85546875" style="147" customWidth="1"/>
    <col min="6" max="6" width="9.28515625" style="147" customWidth="1"/>
    <col min="7" max="8" width="7.85546875" style="147" customWidth="1"/>
    <col min="9" max="9" width="9.42578125" style="147" customWidth="1"/>
    <col min="10" max="10" width="7.85546875" style="147" customWidth="1"/>
    <col min="11" max="11" width="9.85546875" style="147" customWidth="1"/>
    <col min="12" max="12" width="10.28515625" style="147" customWidth="1"/>
    <col min="13" max="17" width="8" style="147" customWidth="1"/>
    <col min="18" max="18" width="10.140625" style="147" customWidth="1"/>
    <col min="19" max="20" width="8" style="147" customWidth="1"/>
    <col min="21" max="21" width="10.28515625" style="147" customWidth="1"/>
    <col min="22" max="22" width="9.7109375" style="147" customWidth="1"/>
    <col min="23" max="23" width="10.28515625" style="147" customWidth="1"/>
    <col min="24" max="16384" width="9.140625" style="147"/>
  </cols>
  <sheetData>
    <row r="1" spans="1:249" ht="15">
      <c r="O1" s="1636" t="s">
        <v>552</v>
      </c>
      <c r="P1" s="1636"/>
      <c r="Q1" s="1636"/>
      <c r="R1" s="1636"/>
      <c r="S1" s="1636"/>
      <c r="T1" s="1636"/>
      <c r="U1" s="1636"/>
    </row>
    <row r="2" spans="1:249" ht="15.75">
      <c r="F2" s="148" t="s">
        <v>0</v>
      </c>
      <c r="G2" s="148"/>
      <c r="H2" s="148"/>
      <c r="I2" s="149"/>
      <c r="J2" s="149"/>
      <c r="K2" s="149"/>
      <c r="L2" s="149"/>
      <c r="M2" s="149"/>
      <c r="N2" s="149"/>
      <c r="O2" s="149"/>
      <c r="P2" s="149"/>
      <c r="Q2" s="149"/>
      <c r="R2" s="149"/>
      <c r="S2" s="149"/>
      <c r="T2" s="149"/>
      <c r="U2" s="149"/>
    </row>
    <row r="3" spans="1:249" ht="15.75">
      <c r="F3" s="148"/>
      <c r="G3" s="148"/>
      <c r="H3" s="148"/>
      <c r="I3" s="149"/>
      <c r="J3" s="149"/>
      <c r="K3" s="149"/>
      <c r="L3" s="149"/>
      <c r="M3" s="149"/>
      <c r="N3" s="149"/>
      <c r="O3" s="149"/>
      <c r="P3" s="149"/>
      <c r="Q3" s="149"/>
      <c r="R3" s="149"/>
      <c r="S3" s="149"/>
      <c r="T3" s="149"/>
      <c r="U3" s="149"/>
    </row>
    <row r="4" spans="1:249" ht="18">
      <c r="B4" s="1637" t="s">
        <v>636</v>
      </c>
      <c r="C4" s="1637"/>
      <c r="D4" s="1637"/>
      <c r="E4" s="1637"/>
      <c r="F4" s="1637"/>
      <c r="G4" s="1637"/>
      <c r="H4" s="1637"/>
      <c r="I4" s="1637"/>
      <c r="J4" s="1637"/>
      <c r="K4" s="1637"/>
      <c r="L4" s="1637"/>
      <c r="M4" s="1637"/>
      <c r="N4" s="1637"/>
      <c r="O4" s="1637"/>
      <c r="P4" s="1637"/>
      <c r="Q4" s="1637"/>
      <c r="R4" s="1637"/>
      <c r="S4" s="1637"/>
      <c r="T4" s="1637"/>
      <c r="U4" s="1637"/>
    </row>
    <row r="6" spans="1:249" ht="15.75">
      <c r="B6" s="1638" t="s">
        <v>803</v>
      </c>
      <c r="C6" s="1638"/>
      <c r="D6" s="1638"/>
      <c r="E6" s="1638"/>
      <c r="F6" s="1638"/>
      <c r="G6" s="1638"/>
      <c r="H6" s="1638"/>
      <c r="I6" s="1638"/>
      <c r="J6" s="1638"/>
      <c r="K6" s="1638"/>
      <c r="L6" s="1638"/>
      <c r="M6" s="1638"/>
      <c r="N6" s="1638"/>
      <c r="O6" s="1638"/>
      <c r="P6" s="1638"/>
      <c r="Q6" s="1638"/>
      <c r="R6" s="1638"/>
      <c r="S6" s="1638"/>
      <c r="T6" s="1638"/>
      <c r="U6" s="1638"/>
    </row>
    <row r="8" spans="1:249">
      <c r="A8" s="1639" t="s">
        <v>1047</v>
      </c>
      <c r="B8" s="1639"/>
    </row>
    <row r="9" spans="1:249" ht="18">
      <c r="A9" s="150"/>
      <c r="B9" s="150"/>
      <c r="V9" s="1645" t="s">
        <v>257</v>
      </c>
      <c r="W9" s="1645"/>
    </row>
    <row r="10" spans="1:249" ht="12.75" customHeight="1">
      <c r="A10" s="1646" t="s">
        <v>2</v>
      </c>
      <c r="B10" s="1646" t="s">
        <v>110</v>
      </c>
      <c r="C10" s="1648" t="s">
        <v>26</v>
      </c>
      <c r="D10" s="1649"/>
      <c r="E10" s="1649"/>
      <c r="F10" s="1649"/>
      <c r="G10" s="1649"/>
      <c r="H10" s="1649"/>
      <c r="I10" s="1649"/>
      <c r="J10" s="1649"/>
      <c r="K10" s="1650"/>
      <c r="L10" s="1648" t="s">
        <v>27</v>
      </c>
      <c r="M10" s="1649"/>
      <c r="N10" s="1649"/>
      <c r="O10" s="1649"/>
      <c r="P10" s="1649"/>
      <c r="Q10" s="1649"/>
      <c r="R10" s="1649"/>
      <c r="S10" s="1649"/>
      <c r="T10" s="1650"/>
      <c r="U10" s="1651" t="s">
        <v>141</v>
      </c>
      <c r="V10" s="1652"/>
      <c r="W10" s="1653"/>
      <c r="X10" s="152"/>
      <c r="Y10" s="152"/>
      <c r="Z10" s="152"/>
      <c r="AA10" s="152"/>
      <c r="AB10" s="152"/>
      <c r="AC10" s="153"/>
      <c r="AD10" s="154"/>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row>
    <row r="11" spans="1:249" ht="12.75" customHeight="1">
      <c r="A11" s="1647"/>
      <c r="B11" s="1647"/>
      <c r="C11" s="1640" t="s">
        <v>177</v>
      </c>
      <c r="D11" s="1641"/>
      <c r="E11" s="1642"/>
      <c r="F11" s="1640" t="s">
        <v>178</v>
      </c>
      <c r="G11" s="1641"/>
      <c r="H11" s="1642"/>
      <c r="I11" s="1640" t="s">
        <v>18</v>
      </c>
      <c r="J11" s="1641"/>
      <c r="K11" s="1642"/>
      <c r="L11" s="1640" t="s">
        <v>177</v>
      </c>
      <c r="M11" s="1641"/>
      <c r="N11" s="1642"/>
      <c r="O11" s="1640" t="s">
        <v>178</v>
      </c>
      <c r="P11" s="1641"/>
      <c r="Q11" s="1642"/>
      <c r="R11" s="1640" t="s">
        <v>18</v>
      </c>
      <c r="S11" s="1641"/>
      <c r="T11" s="1642"/>
      <c r="U11" s="1654"/>
      <c r="V11" s="1655"/>
      <c r="W11" s="1656"/>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row>
    <row r="12" spans="1:249">
      <c r="A12" s="151"/>
      <c r="B12" s="151"/>
      <c r="C12" s="155" t="s">
        <v>258</v>
      </c>
      <c r="D12" s="156" t="s">
        <v>44</v>
      </c>
      <c r="E12" s="157" t="s">
        <v>45</v>
      </c>
      <c r="F12" s="155" t="s">
        <v>258</v>
      </c>
      <c r="G12" s="156" t="s">
        <v>44</v>
      </c>
      <c r="H12" s="157" t="s">
        <v>45</v>
      </c>
      <c r="I12" s="155" t="s">
        <v>258</v>
      </c>
      <c r="J12" s="156" t="s">
        <v>44</v>
      </c>
      <c r="K12" s="157" t="s">
        <v>45</v>
      </c>
      <c r="L12" s="155" t="s">
        <v>258</v>
      </c>
      <c r="M12" s="156" t="s">
        <v>44</v>
      </c>
      <c r="N12" s="157" t="s">
        <v>45</v>
      </c>
      <c r="O12" s="155" t="s">
        <v>258</v>
      </c>
      <c r="P12" s="156" t="s">
        <v>44</v>
      </c>
      <c r="Q12" s="157" t="s">
        <v>45</v>
      </c>
      <c r="R12" s="155" t="s">
        <v>258</v>
      </c>
      <c r="S12" s="156" t="s">
        <v>44</v>
      </c>
      <c r="T12" s="157" t="s">
        <v>45</v>
      </c>
      <c r="U12" s="151" t="s">
        <v>258</v>
      </c>
      <c r="V12" s="151" t="s">
        <v>44</v>
      </c>
      <c r="W12" s="151" t="s">
        <v>45</v>
      </c>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c r="IL12" s="152"/>
      <c r="IM12" s="152"/>
      <c r="IN12" s="152"/>
      <c r="IO12" s="152"/>
    </row>
    <row r="13" spans="1:249">
      <c r="A13" s="151">
        <v>1</v>
      </c>
      <c r="B13" s="151">
        <v>2</v>
      </c>
      <c r="C13" s="151">
        <v>3</v>
      </c>
      <c r="D13" s="151">
        <v>4</v>
      </c>
      <c r="E13" s="151">
        <v>5</v>
      </c>
      <c r="F13" s="151">
        <v>7</v>
      </c>
      <c r="G13" s="151">
        <v>8</v>
      </c>
      <c r="H13" s="151">
        <v>9</v>
      </c>
      <c r="I13" s="151">
        <v>11</v>
      </c>
      <c r="J13" s="151">
        <v>12</v>
      </c>
      <c r="K13" s="151">
        <v>13</v>
      </c>
      <c r="L13" s="151">
        <v>15</v>
      </c>
      <c r="M13" s="151">
        <v>16</v>
      </c>
      <c r="N13" s="151">
        <v>17</v>
      </c>
      <c r="O13" s="151">
        <v>19</v>
      </c>
      <c r="P13" s="151">
        <v>20</v>
      </c>
      <c r="Q13" s="151">
        <v>21</v>
      </c>
      <c r="R13" s="151">
        <v>23</v>
      </c>
      <c r="S13" s="151">
        <v>24</v>
      </c>
      <c r="T13" s="151">
        <v>25</v>
      </c>
      <c r="U13" s="151">
        <v>27</v>
      </c>
      <c r="V13" s="151">
        <v>28</v>
      </c>
      <c r="W13" s="151">
        <v>29</v>
      </c>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c r="GW13" s="158"/>
      <c r="GX13" s="158"/>
      <c r="GY13" s="158"/>
      <c r="GZ13" s="158"/>
      <c r="HA13" s="158"/>
      <c r="HB13" s="158"/>
      <c r="HC13" s="158"/>
      <c r="HD13" s="158"/>
      <c r="HE13" s="158"/>
      <c r="HF13" s="158"/>
      <c r="HG13" s="158"/>
      <c r="HH13" s="158"/>
      <c r="HI13" s="158"/>
      <c r="HJ13" s="158"/>
      <c r="HK13" s="158"/>
      <c r="HL13" s="158"/>
      <c r="HM13" s="158"/>
      <c r="HN13" s="158"/>
      <c r="HO13" s="158"/>
      <c r="HP13" s="158"/>
      <c r="HQ13" s="158"/>
      <c r="HR13" s="158"/>
      <c r="HS13" s="158"/>
      <c r="HT13" s="158"/>
      <c r="HU13" s="158"/>
      <c r="HV13" s="158"/>
      <c r="HW13" s="158"/>
      <c r="HX13" s="158"/>
      <c r="HY13" s="158"/>
      <c r="HZ13" s="158"/>
      <c r="IA13" s="158"/>
      <c r="IB13" s="158"/>
      <c r="IC13" s="158"/>
      <c r="ID13" s="158"/>
      <c r="IE13" s="158"/>
      <c r="IF13" s="158"/>
      <c r="IG13" s="158"/>
      <c r="IH13" s="158"/>
      <c r="II13" s="158"/>
      <c r="IJ13" s="158"/>
      <c r="IK13" s="158"/>
      <c r="IL13" s="158"/>
      <c r="IM13" s="158"/>
      <c r="IN13" s="158"/>
      <c r="IO13" s="158"/>
    </row>
    <row r="14" spans="1:249" ht="12.75" customHeight="1">
      <c r="A14" s="1643" t="s">
        <v>250</v>
      </c>
      <c r="B14" s="1644"/>
      <c r="C14" s="151"/>
      <c r="D14" s="151"/>
      <c r="E14" s="151"/>
      <c r="F14" s="151"/>
      <c r="G14" s="151"/>
      <c r="H14" s="151"/>
      <c r="I14" s="151"/>
      <c r="J14" s="151"/>
      <c r="K14" s="151"/>
      <c r="L14" s="151"/>
      <c r="M14" s="151"/>
      <c r="N14" s="151"/>
      <c r="O14" s="151"/>
      <c r="P14" s="151"/>
      <c r="Q14" s="151"/>
      <c r="R14" s="151"/>
      <c r="S14" s="151"/>
      <c r="T14" s="151"/>
      <c r="U14" s="159"/>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8"/>
      <c r="GM14" s="158"/>
      <c r="GN14" s="158"/>
      <c r="GO14" s="158"/>
      <c r="GP14" s="158"/>
      <c r="GQ14" s="158"/>
      <c r="GR14" s="158"/>
      <c r="GS14" s="158"/>
      <c r="GT14" s="158"/>
      <c r="GU14" s="158"/>
      <c r="GV14" s="158"/>
      <c r="GW14" s="158"/>
      <c r="GX14" s="158"/>
      <c r="GY14" s="158"/>
      <c r="GZ14" s="158"/>
      <c r="HA14" s="158"/>
      <c r="HB14" s="158"/>
      <c r="HC14" s="158"/>
      <c r="HD14" s="158"/>
      <c r="HE14" s="158"/>
      <c r="HF14" s="158"/>
      <c r="HG14" s="158"/>
      <c r="HH14" s="158"/>
      <c r="HI14" s="158"/>
      <c r="HJ14" s="158"/>
      <c r="HK14" s="158"/>
      <c r="HL14" s="158"/>
      <c r="HM14" s="158"/>
      <c r="HN14" s="158"/>
      <c r="HO14" s="158"/>
      <c r="HP14" s="158"/>
      <c r="HQ14" s="158"/>
      <c r="HR14" s="158"/>
      <c r="HS14" s="158"/>
      <c r="HT14" s="158"/>
      <c r="HU14" s="158"/>
      <c r="HV14" s="158"/>
      <c r="HW14" s="158"/>
      <c r="HX14" s="158"/>
      <c r="HY14" s="158"/>
      <c r="HZ14" s="158"/>
      <c r="IA14" s="158"/>
      <c r="IB14" s="158"/>
      <c r="IC14" s="158"/>
      <c r="ID14" s="158"/>
      <c r="IE14" s="158"/>
      <c r="IF14" s="158"/>
      <c r="IG14" s="158"/>
      <c r="IH14" s="158"/>
      <c r="II14" s="158"/>
      <c r="IJ14" s="158"/>
      <c r="IK14" s="158"/>
      <c r="IL14" s="158"/>
      <c r="IM14" s="158"/>
      <c r="IN14" s="158"/>
      <c r="IO14" s="158"/>
    </row>
    <row r="15" spans="1:249">
      <c r="A15" s="161">
        <v>1</v>
      </c>
      <c r="B15" s="162" t="s">
        <v>126</v>
      </c>
      <c r="C15" s="730">
        <v>1189.6559999999999</v>
      </c>
      <c r="D15" s="730">
        <v>165.23000000000002</v>
      </c>
      <c r="E15" s="730">
        <v>297.41399999999999</v>
      </c>
      <c r="F15" s="730"/>
      <c r="G15" s="730"/>
      <c r="H15" s="730"/>
      <c r="I15" s="730">
        <f>C15+F15</f>
        <v>1189.6559999999999</v>
      </c>
      <c r="J15" s="730">
        <f>D15+G15</f>
        <v>165.23000000000002</v>
      </c>
      <c r="K15" s="730">
        <f>E15+H15</f>
        <v>297.41399999999999</v>
      </c>
      <c r="L15" s="730">
        <v>1165.7087999999999</v>
      </c>
      <c r="M15" s="730">
        <v>161.904</v>
      </c>
      <c r="N15" s="730">
        <v>291.42719999999997</v>
      </c>
      <c r="O15" s="730"/>
      <c r="P15" s="730"/>
      <c r="Q15" s="730"/>
      <c r="R15" s="730">
        <f>L15+O15</f>
        <v>1165.7087999999999</v>
      </c>
      <c r="S15" s="730">
        <f t="shared" ref="S15:T19" si="0">M15+P15</f>
        <v>161.904</v>
      </c>
      <c r="T15" s="730">
        <f t="shared" si="0"/>
        <v>291.42719999999997</v>
      </c>
      <c r="U15" s="730">
        <f>I15+R15</f>
        <v>2355.3647999999998</v>
      </c>
      <c r="V15" s="730">
        <f t="shared" ref="V15:W19" si="1">J15+S15</f>
        <v>327.13400000000001</v>
      </c>
      <c r="W15" s="730">
        <f t="shared" si="1"/>
        <v>588.84119999999996</v>
      </c>
    </row>
    <row r="16" spans="1:249">
      <c r="A16" s="161">
        <v>2</v>
      </c>
      <c r="B16" s="163" t="s">
        <v>480</v>
      </c>
      <c r="C16" s="730">
        <v>13076.697600000001</v>
      </c>
      <c r="D16" s="730">
        <v>1816.2080000000003</v>
      </c>
      <c r="E16" s="730">
        <v>3269.1744000000003</v>
      </c>
      <c r="F16" s="730">
        <v>8717.7959999999985</v>
      </c>
      <c r="G16" s="730">
        <v>1210.8050000000001</v>
      </c>
      <c r="H16" s="730">
        <v>2179.4489999999996</v>
      </c>
      <c r="I16" s="730">
        <f t="shared" ref="I16:K19" si="2">C16+F16</f>
        <v>21794.493600000002</v>
      </c>
      <c r="J16" s="730">
        <f t="shared" si="2"/>
        <v>3027.0130000000004</v>
      </c>
      <c r="K16" s="730">
        <f t="shared" si="2"/>
        <v>5448.6234000000004</v>
      </c>
      <c r="L16" s="730">
        <v>11798.222399999999</v>
      </c>
      <c r="M16" s="730">
        <v>1638.6419999999998</v>
      </c>
      <c r="N16" s="730">
        <v>2949.5555999999997</v>
      </c>
      <c r="O16" s="730">
        <v>7865.4816000000001</v>
      </c>
      <c r="P16" s="730">
        <v>1092.4280000000001</v>
      </c>
      <c r="Q16" s="730">
        <v>1966.3704</v>
      </c>
      <c r="R16" s="730">
        <f>L16+O16</f>
        <v>19663.703999999998</v>
      </c>
      <c r="S16" s="730">
        <f t="shared" si="0"/>
        <v>2731.0699999999997</v>
      </c>
      <c r="T16" s="730">
        <f t="shared" si="0"/>
        <v>4915.9259999999995</v>
      </c>
      <c r="U16" s="730">
        <f>I16+R16</f>
        <v>41458.1976</v>
      </c>
      <c r="V16" s="730">
        <f t="shared" si="1"/>
        <v>5758.0830000000005</v>
      </c>
      <c r="W16" s="730">
        <f t="shared" si="1"/>
        <v>10364.5494</v>
      </c>
    </row>
    <row r="17" spans="1:23" ht="25.5">
      <c r="A17" s="161">
        <v>3</v>
      </c>
      <c r="B17" s="163" t="s">
        <v>130</v>
      </c>
      <c r="C17" s="730">
        <v>4161.4128000000001</v>
      </c>
      <c r="D17" s="730">
        <v>577.97400000000005</v>
      </c>
      <c r="E17" s="730">
        <v>1040.3532</v>
      </c>
      <c r="F17" s="730">
        <v>2774.2751999999996</v>
      </c>
      <c r="G17" s="730">
        <v>385.31600000000003</v>
      </c>
      <c r="H17" s="730">
        <v>693.5687999999999</v>
      </c>
      <c r="I17" s="730">
        <f t="shared" si="2"/>
        <v>6935.6880000000001</v>
      </c>
      <c r="J17" s="730">
        <f t="shared" si="2"/>
        <v>963.29000000000008</v>
      </c>
      <c r="K17" s="730">
        <f t="shared" si="2"/>
        <v>1733.922</v>
      </c>
      <c r="L17" s="730">
        <v>0</v>
      </c>
      <c r="M17" s="730">
        <v>0</v>
      </c>
      <c r="N17" s="730">
        <v>0</v>
      </c>
      <c r="O17" s="730">
        <v>0</v>
      </c>
      <c r="P17" s="730">
        <v>0</v>
      </c>
      <c r="Q17" s="730"/>
      <c r="R17" s="730">
        <f>L17+O17</f>
        <v>0</v>
      </c>
      <c r="S17" s="730">
        <f t="shared" si="0"/>
        <v>0</v>
      </c>
      <c r="T17" s="730">
        <f t="shared" si="0"/>
        <v>0</v>
      </c>
      <c r="U17" s="730">
        <f>I17+R17</f>
        <v>6935.6880000000001</v>
      </c>
      <c r="V17" s="730">
        <f t="shared" si="1"/>
        <v>963.29000000000008</v>
      </c>
      <c r="W17" s="730">
        <f t="shared" si="1"/>
        <v>1733.922</v>
      </c>
    </row>
    <row r="18" spans="1:23" ht="25.5">
      <c r="A18" s="161">
        <v>4</v>
      </c>
      <c r="B18" s="163" t="s">
        <v>128</v>
      </c>
      <c r="C18" s="730">
        <v>356.89679999999998</v>
      </c>
      <c r="D18" s="730">
        <v>49.569000000000003</v>
      </c>
      <c r="E18" s="730">
        <v>89.224199999999996</v>
      </c>
      <c r="F18" s="730"/>
      <c r="G18" s="730"/>
      <c r="H18" s="730"/>
      <c r="I18" s="730">
        <f t="shared" si="2"/>
        <v>356.89679999999998</v>
      </c>
      <c r="J18" s="730">
        <f t="shared" si="2"/>
        <v>49.569000000000003</v>
      </c>
      <c r="K18" s="730">
        <f t="shared" si="2"/>
        <v>89.224199999999996</v>
      </c>
      <c r="L18" s="730">
        <v>345.11039999999997</v>
      </c>
      <c r="M18" s="730">
        <v>47.932000000000002</v>
      </c>
      <c r="N18" s="730">
        <v>86.277599999999993</v>
      </c>
      <c r="O18" s="730"/>
      <c r="P18" s="730"/>
      <c r="Q18" s="730"/>
      <c r="R18" s="730">
        <f>L18+O18</f>
        <v>345.11039999999997</v>
      </c>
      <c r="S18" s="730">
        <f t="shared" si="0"/>
        <v>47.932000000000002</v>
      </c>
      <c r="T18" s="730">
        <f t="shared" si="0"/>
        <v>86.277599999999993</v>
      </c>
      <c r="U18" s="730">
        <f>I18+R18</f>
        <v>702.00720000000001</v>
      </c>
      <c r="V18" s="730">
        <f t="shared" si="1"/>
        <v>97.501000000000005</v>
      </c>
      <c r="W18" s="730">
        <f t="shared" si="1"/>
        <v>175.5018</v>
      </c>
    </row>
    <row r="19" spans="1:23">
      <c r="A19" s="161">
        <v>5</v>
      </c>
      <c r="B19" s="162" t="s">
        <v>129</v>
      </c>
      <c r="C19" s="730">
        <v>563.53989600000011</v>
      </c>
      <c r="D19" s="730">
        <v>78.269430000000014</v>
      </c>
      <c r="E19" s="730">
        <v>140.88497400000003</v>
      </c>
      <c r="F19" s="730"/>
      <c r="G19" s="730"/>
      <c r="H19" s="730"/>
      <c r="I19" s="730">
        <f>C19+F19</f>
        <v>563.53989600000011</v>
      </c>
      <c r="J19" s="730">
        <f t="shared" si="2"/>
        <v>78.269430000000014</v>
      </c>
      <c r="K19" s="730">
        <f t="shared" si="2"/>
        <v>140.88497400000003</v>
      </c>
      <c r="L19" s="730">
        <v>399.27124800000001</v>
      </c>
      <c r="M19" s="730">
        <v>55.454340000000002</v>
      </c>
      <c r="N19" s="730">
        <v>99.817812000000004</v>
      </c>
      <c r="O19" s="730"/>
      <c r="P19" s="730"/>
      <c r="Q19" s="730"/>
      <c r="R19" s="730">
        <f>L19+O19</f>
        <v>399.27124800000001</v>
      </c>
      <c r="S19" s="730">
        <f t="shared" si="0"/>
        <v>55.454340000000002</v>
      </c>
      <c r="T19" s="730">
        <f t="shared" si="0"/>
        <v>99.817812000000004</v>
      </c>
      <c r="U19" s="730">
        <f>I19+R19</f>
        <v>962.81114400000013</v>
      </c>
      <c r="V19" s="730">
        <f t="shared" si="1"/>
        <v>133.72377</v>
      </c>
      <c r="W19" s="730">
        <f t="shared" si="1"/>
        <v>240.70278600000003</v>
      </c>
    </row>
    <row r="20" spans="1:23" ht="12.75" customHeight="1">
      <c r="A20" s="1643" t="s">
        <v>251</v>
      </c>
      <c r="B20" s="1644"/>
      <c r="C20" s="730"/>
      <c r="D20" s="730"/>
      <c r="E20" s="730"/>
      <c r="F20" s="730"/>
      <c r="G20" s="730"/>
      <c r="H20" s="730"/>
      <c r="I20" s="730"/>
      <c r="J20" s="730"/>
      <c r="K20" s="730"/>
      <c r="L20" s="730"/>
      <c r="M20" s="730"/>
      <c r="N20" s="730"/>
      <c r="O20" s="730"/>
      <c r="P20" s="730"/>
      <c r="Q20" s="730"/>
      <c r="R20" s="730"/>
      <c r="S20" s="730"/>
      <c r="T20" s="730"/>
      <c r="U20" s="730"/>
      <c r="V20" s="730"/>
      <c r="W20" s="730"/>
    </row>
    <row r="21" spans="1:23">
      <c r="A21" s="161">
        <v>6</v>
      </c>
      <c r="B21" s="162" t="s">
        <v>131</v>
      </c>
      <c r="C21" s="730">
        <v>0</v>
      </c>
      <c r="D21" s="730">
        <v>0</v>
      </c>
      <c r="E21" s="730">
        <v>0</v>
      </c>
      <c r="F21" s="730">
        <v>0</v>
      </c>
      <c r="G21" s="730">
        <v>0</v>
      </c>
      <c r="H21" s="730">
        <v>0</v>
      </c>
      <c r="I21" s="730">
        <v>0</v>
      </c>
      <c r="J21" s="730">
        <v>0</v>
      </c>
      <c r="K21" s="730">
        <v>0</v>
      </c>
      <c r="L21" s="730">
        <v>0</v>
      </c>
      <c r="M21" s="730">
        <v>0</v>
      </c>
      <c r="N21" s="730">
        <v>0</v>
      </c>
      <c r="O21" s="730">
        <v>0</v>
      </c>
      <c r="P21" s="730">
        <v>0</v>
      </c>
      <c r="Q21" s="730">
        <v>0</v>
      </c>
      <c r="R21" s="730">
        <v>0</v>
      </c>
      <c r="S21" s="730">
        <v>0</v>
      </c>
      <c r="T21" s="730">
        <v>0</v>
      </c>
      <c r="U21" s="730">
        <v>0</v>
      </c>
      <c r="V21" s="730">
        <v>0</v>
      </c>
      <c r="W21" s="730">
        <v>0</v>
      </c>
    </row>
    <row r="22" spans="1:23">
      <c r="A22" s="161">
        <v>7</v>
      </c>
      <c r="B22" s="162" t="s">
        <v>132</v>
      </c>
      <c r="C22" s="730">
        <v>1940.5872000000002</v>
      </c>
      <c r="D22" s="730">
        <v>269.52600000000001</v>
      </c>
      <c r="E22" s="730">
        <v>485.14680000000004</v>
      </c>
      <c r="F22" s="730">
        <v>0</v>
      </c>
      <c r="G22" s="730">
        <v>0</v>
      </c>
      <c r="H22" s="730">
        <v>0</v>
      </c>
      <c r="I22" s="730">
        <v>0</v>
      </c>
      <c r="J22" s="730">
        <v>0</v>
      </c>
      <c r="K22" s="730">
        <v>0</v>
      </c>
      <c r="L22" s="730">
        <v>1405.2527999999998</v>
      </c>
      <c r="M22" s="730">
        <v>195.17399999999998</v>
      </c>
      <c r="N22" s="730">
        <v>351.31319999999994</v>
      </c>
      <c r="O22" s="730">
        <v>0</v>
      </c>
      <c r="P22" s="730">
        <v>0</v>
      </c>
      <c r="Q22" s="730">
        <v>0</v>
      </c>
      <c r="R22" s="730">
        <v>0</v>
      </c>
      <c r="S22" s="730">
        <v>0</v>
      </c>
      <c r="T22" s="730">
        <v>0</v>
      </c>
      <c r="U22" s="730">
        <v>0</v>
      </c>
      <c r="V22" s="730">
        <v>0</v>
      </c>
      <c r="W22" s="730">
        <v>0</v>
      </c>
    </row>
    <row r="23" spans="1:23">
      <c r="A23" s="731" t="s">
        <v>7</v>
      </c>
      <c r="B23" s="732"/>
      <c r="C23" s="730">
        <v>0</v>
      </c>
      <c r="D23" s="730">
        <v>0</v>
      </c>
      <c r="E23" s="730">
        <v>0</v>
      </c>
      <c r="F23" s="730">
        <v>0</v>
      </c>
      <c r="G23" s="730">
        <v>0</v>
      </c>
      <c r="H23" s="730">
        <v>0</v>
      </c>
      <c r="I23" s="730">
        <v>0</v>
      </c>
      <c r="J23" s="730">
        <v>0</v>
      </c>
      <c r="K23" s="730">
        <v>0</v>
      </c>
      <c r="L23" s="730">
        <v>0</v>
      </c>
      <c r="M23" s="730">
        <v>0</v>
      </c>
      <c r="N23" s="730">
        <v>0</v>
      </c>
      <c r="O23" s="730">
        <v>0</v>
      </c>
      <c r="P23" s="730">
        <v>0</v>
      </c>
      <c r="Q23" s="730">
        <v>0</v>
      </c>
      <c r="R23" s="730">
        <v>0</v>
      </c>
      <c r="S23" s="730">
        <v>0</v>
      </c>
      <c r="T23" s="730">
        <v>0</v>
      </c>
      <c r="U23" s="730">
        <v>0</v>
      </c>
      <c r="V23" s="730">
        <v>0</v>
      </c>
      <c r="W23" s="730">
        <v>0</v>
      </c>
    </row>
    <row r="24" spans="1:23">
      <c r="A24" s="731" t="s">
        <v>7</v>
      </c>
      <c r="B24" s="732"/>
      <c r="C24" s="730">
        <v>0</v>
      </c>
      <c r="D24" s="730">
        <v>0</v>
      </c>
      <c r="E24" s="730">
        <v>0</v>
      </c>
      <c r="F24" s="730">
        <v>0</v>
      </c>
      <c r="G24" s="730">
        <v>0</v>
      </c>
      <c r="H24" s="730">
        <v>0</v>
      </c>
      <c r="I24" s="730">
        <v>0</v>
      </c>
      <c r="J24" s="730">
        <v>0</v>
      </c>
      <c r="K24" s="730">
        <v>0</v>
      </c>
      <c r="L24" s="730">
        <v>0</v>
      </c>
      <c r="M24" s="730">
        <v>0</v>
      </c>
      <c r="N24" s="730">
        <v>0</v>
      </c>
      <c r="O24" s="730">
        <v>0</v>
      </c>
      <c r="P24" s="730">
        <v>0</v>
      </c>
      <c r="Q24" s="730">
        <v>0</v>
      </c>
      <c r="R24" s="730">
        <v>0</v>
      </c>
      <c r="S24" s="730">
        <v>0</v>
      </c>
      <c r="T24" s="730">
        <v>0</v>
      </c>
      <c r="U24" s="730">
        <v>0</v>
      </c>
      <c r="V24" s="730">
        <v>0</v>
      </c>
      <c r="W24" s="730">
        <v>0</v>
      </c>
    </row>
    <row r="25" spans="1:23" s="734" customFormat="1" ht="21.75" customHeight="1">
      <c r="A25" s="1634" t="s">
        <v>18</v>
      </c>
      <c r="B25" s="1635"/>
      <c r="C25" s="733">
        <f>C15+C16+C17+C18+C19+C22</f>
        <v>21288.790295999999</v>
      </c>
      <c r="D25" s="733">
        <f t="shared" ref="D25:W25" si="3">D15+D16+D17+D18+D19+D22</f>
        <v>2956.7764299999999</v>
      </c>
      <c r="E25" s="733">
        <f>E15+E16+E17+E18+E19+E22</f>
        <v>5322.1975739999998</v>
      </c>
      <c r="F25" s="733">
        <f t="shared" si="3"/>
        <v>11492.071199999998</v>
      </c>
      <c r="G25" s="733">
        <f t="shared" si="3"/>
        <v>1596.1210000000001</v>
      </c>
      <c r="H25" s="733">
        <f t="shared" si="3"/>
        <v>2873.0177999999996</v>
      </c>
      <c r="I25" s="733">
        <f>I15+I16+I17+I18+I19+I22</f>
        <v>30840.274295999996</v>
      </c>
      <c r="J25" s="733">
        <f t="shared" si="3"/>
        <v>4283.3714300000011</v>
      </c>
      <c r="K25" s="733">
        <f t="shared" si="3"/>
        <v>7710.068573999999</v>
      </c>
      <c r="L25" s="733">
        <f>L15+L16+L17+L18+L19+L22</f>
        <v>15113.565647999998</v>
      </c>
      <c r="M25" s="733">
        <f t="shared" si="3"/>
        <v>2099.1063399999998</v>
      </c>
      <c r="N25" s="733">
        <f t="shared" si="3"/>
        <v>3778.3914119999995</v>
      </c>
      <c r="O25" s="733">
        <f t="shared" si="3"/>
        <v>7865.4816000000001</v>
      </c>
      <c r="P25" s="733">
        <f t="shared" si="3"/>
        <v>1092.4280000000001</v>
      </c>
      <c r="Q25" s="733">
        <f t="shared" si="3"/>
        <v>1966.3704</v>
      </c>
      <c r="R25" s="733">
        <f t="shared" si="3"/>
        <v>21573.794448000001</v>
      </c>
      <c r="S25" s="733">
        <f t="shared" si="3"/>
        <v>2996.3603399999993</v>
      </c>
      <c r="T25" s="733">
        <f t="shared" si="3"/>
        <v>5393.4486120000001</v>
      </c>
      <c r="U25" s="733">
        <f t="shared" si="3"/>
        <v>52414.068744000004</v>
      </c>
      <c r="V25" s="733">
        <f t="shared" si="3"/>
        <v>7279.7317700000003</v>
      </c>
      <c r="W25" s="733">
        <f t="shared" si="3"/>
        <v>13103.517186000001</v>
      </c>
    </row>
    <row r="26" spans="1:23">
      <c r="A26" s="164"/>
      <c r="B26" s="164"/>
      <c r="I26" s="1032"/>
    </row>
    <row r="27" spans="1:23">
      <c r="C27" s="1032"/>
    </row>
    <row r="28" spans="1:23" s="994" customFormat="1" ht="15.6" customHeight="1">
      <c r="A28" s="15" t="s">
        <v>12</v>
      </c>
      <c r="B28" s="15"/>
      <c r="C28" s="15"/>
      <c r="T28" s="1040" t="s">
        <v>1106</v>
      </c>
      <c r="U28" s="1040"/>
      <c r="V28" s="1040"/>
      <c r="W28" s="1040"/>
    </row>
    <row r="29" spans="1:23" s="994" customFormat="1" ht="15.6" customHeight="1">
      <c r="T29" s="1040" t="s">
        <v>481</v>
      </c>
      <c r="U29" s="1040"/>
      <c r="V29" s="1040"/>
      <c r="W29" s="1040"/>
    </row>
    <row r="30" spans="1:23" s="994" customFormat="1" ht="15.6" customHeight="1">
      <c r="T30" s="1040" t="s">
        <v>1107</v>
      </c>
      <c r="U30" s="1040"/>
      <c r="V30" s="1040"/>
      <c r="W30" s="1040"/>
    </row>
  </sheetData>
  <mergeCells count="22">
    <mergeCell ref="A10:A11"/>
    <mergeCell ref="B10:B11"/>
    <mergeCell ref="C10:K10"/>
    <mergeCell ref="L10:T10"/>
    <mergeCell ref="U10:W11"/>
    <mergeCell ref="R11:T11"/>
    <mergeCell ref="A25:B25"/>
    <mergeCell ref="T28:W28"/>
    <mergeCell ref="T29:W29"/>
    <mergeCell ref="T30:W30"/>
    <mergeCell ref="O1:U1"/>
    <mergeCell ref="B4:U4"/>
    <mergeCell ref="B6:U6"/>
    <mergeCell ref="A8:B8"/>
    <mergeCell ref="C11:E11"/>
    <mergeCell ref="F11:H11"/>
    <mergeCell ref="I11:K11"/>
    <mergeCell ref="L11:N11"/>
    <mergeCell ref="A20:B20"/>
    <mergeCell ref="A14:B14"/>
    <mergeCell ref="O11:Q11"/>
    <mergeCell ref="V9:W9"/>
  </mergeCells>
  <printOptions horizontalCentered="1"/>
  <pageMargins left="0.70866141732283472" right="0.70866141732283472" top="0.63" bottom="0" header="0.79" footer="0.31496062992125984"/>
  <pageSetup paperSize="9" scale="63" orientation="landscape" r:id="rId1"/>
  <colBreaks count="1" manualBreakCount="1">
    <brk id="23" max="1048575" man="1"/>
  </colBreaks>
</worksheet>
</file>

<file path=xl/worksheets/sheet68.xml><?xml version="1.0" encoding="utf-8"?>
<worksheet xmlns="http://schemas.openxmlformats.org/spreadsheetml/2006/main" xmlns:r="http://schemas.openxmlformats.org/officeDocument/2006/relationships">
  <sheetPr>
    <pageSetUpPr fitToPage="1"/>
  </sheetPr>
  <dimension ref="A2:M33"/>
  <sheetViews>
    <sheetView topLeftCell="A3" zoomScaleSheetLayoutView="78" workbookViewId="0">
      <selection activeCell="A3" sqref="A3:J3"/>
    </sheetView>
  </sheetViews>
  <sheetFormatPr defaultColWidth="11.85546875" defaultRowHeight="12.75"/>
  <cols>
    <col min="2" max="2" width="12.85546875" bestFit="1" customWidth="1"/>
  </cols>
  <sheetData>
    <row r="2" spans="1:12">
      <c r="A2" s="80"/>
      <c r="B2" s="80"/>
      <c r="C2" s="80"/>
      <c r="D2" s="80"/>
      <c r="E2" s="1657"/>
      <c r="F2" s="1657"/>
      <c r="G2" s="1657"/>
      <c r="H2" s="1657"/>
      <c r="I2" s="1657"/>
      <c r="J2" s="248" t="s">
        <v>737</v>
      </c>
      <c r="K2" s="80"/>
      <c r="L2" s="80"/>
    </row>
    <row r="3" spans="1:12" ht="15">
      <c r="A3" s="1660" t="s">
        <v>0</v>
      </c>
      <c r="B3" s="1660"/>
      <c r="C3" s="1660"/>
      <c r="D3" s="1660"/>
      <c r="E3" s="1660"/>
      <c r="F3" s="1660"/>
      <c r="G3" s="1660"/>
      <c r="H3" s="1660"/>
      <c r="I3" s="1660"/>
      <c r="J3" s="1660"/>
      <c r="K3" s="80"/>
      <c r="L3" s="80"/>
    </row>
    <row r="4" spans="1:12" ht="20.25">
      <c r="A4" s="1155" t="s">
        <v>636</v>
      </c>
      <c r="B4" s="1155"/>
      <c r="C4" s="1155"/>
      <c r="D4" s="1155"/>
      <c r="E4" s="1155"/>
      <c r="F4" s="1155"/>
      <c r="G4" s="1155"/>
      <c r="H4" s="1155"/>
      <c r="I4" s="1155"/>
      <c r="J4" s="1155"/>
      <c r="K4" s="80"/>
      <c r="L4" s="80"/>
    </row>
    <row r="5" spans="1:12">
      <c r="A5" s="80"/>
      <c r="B5" s="80"/>
      <c r="C5" s="80"/>
      <c r="D5" s="80"/>
      <c r="E5" s="80"/>
      <c r="F5" s="80"/>
      <c r="G5" s="80"/>
      <c r="H5" s="80"/>
      <c r="I5" s="80"/>
      <c r="J5" s="80"/>
      <c r="K5" s="80"/>
      <c r="L5" s="80"/>
    </row>
    <row r="6" spans="1:12" ht="15.75">
      <c r="A6" s="1661" t="s">
        <v>738</v>
      </c>
      <c r="B6" s="1661"/>
      <c r="C6" s="1661"/>
      <c r="D6" s="1661"/>
      <c r="E6" s="1661"/>
      <c r="F6" s="1661"/>
      <c r="G6" s="1661"/>
      <c r="H6" s="1661"/>
      <c r="I6" s="1661"/>
      <c r="J6" s="1661"/>
      <c r="K6" s="1661"/>
      <c r="L6" s="1661"/>
    </row>
    <row r="7" spans="1:12">
      <c r="A7" s="249"/>
      <c r="B7" s="249"/>
      <c r="C7" s="249"/>
      <c r="D7" s="249"/>
      <c r="E7" s="249"/>
      <c r="F7" s="249"/>
      <c r="G7" s="249"/>
      <c r="H7" s="249"/>
      <c r="I7" s="249"/>
      <c r="J7" s="249"/>
      <c r="K7" s="144"/>
      <c r="L7" s="144"/>
    </row>
    <row r="8" spans="1:12">
      <c r="A8" s="144"/>
      <c r="B8" s="144"/>
      <c r="C8" s="144"/>
      <c r="D8" s="144"/>
      <c r="E8" s="144"/>
      <c r="F8" s="144"/>
      <c r="G8" s="144"/>
      <c r="H8" s="144"/>
      <c r="I8" s="144"/>
      <c r="J8" s="144"/>
      <c r="K8" s="144"/>
      <c r="L8" s="144"/>
    </row>
    <row r="9" spans="1:12">
      <c r="A9" s="1662" t="s">
        <v>739</v>
      </c>
      <c r="B9" s="1662"/>
      <c r="C9" s="250"/>
      <c r="D9" s="144"/>
      <c r="E9" s="144"/>
      <c r="F9" s="144"/>
      <c r="G9" s="144"/>
      <c r="H9" s="1300" t="s">
        <v>793</v>
      </c>
      <c r="I9" s="1300"/>
      <c r="J9" s="1300"/>
      <c r="K9" s="144"/>
      <c r="L9" s="144"/>
    </row>
    <row r="10" spans="1:12">
      <c r="A10" s="1658" t="s">
        <v>2</v>
      </c>
      <c r="B10" s="1658" t="s">
        <v>38</v>
      </c>
      <c r="C10" s="1659" t="s">
        <v>740</v>
      </c>
      <c r="D10" s="1659"/>
      <c r="E10" s="1659" t="s">
        <v>127</v>
      </c>
      <c r="F10" s="1659"/>
      <c r="G10" s="1659" t="s">
        <v>741</v>
      </c>
      <c r="H10" s="1659"/>
      <c r="I10" s="1659" t="s">
        <v>128</v>
      </c>
      <c r="J10" s="1659"/>
      <c r="K10" s="1659" t="s">
        <v>129</v>
      </c>
      <c r="L10" s="1659"/>
    </row>
    <row r="11" spans="1:12" ht="38.25">
      <c r="A11" s="1658"/>
      <c r="B11" s="1658"/>
      <c r="C11" s="85" t="s">
        <v>742</v>
      </c>
      <c r="D11" s="85" t="s">
        <v>743</v>
      </c>
      <c r="E11" s="85" t="s">
        <v>744</v>
      </c>
      <c r="F11" s="85" t="s">
        <v>745</v>
      </c>
      <c r="G11" s="85" t="s">
        <v>744</v>
      </c>
      <c r="H11" s="85" t="s">
        <v>745</v>
      </c>
      <c r="I11" s="85" t="s">
        <v>742</v>
      </c>
      <c r="J11" s="85" t="s">
        <v>743</v>
      </c>
      <c r="K11" s="85" t="s">
        <v>742</v>
      </c>
      <c r="L11" s="85" t="s">
        <v>743</v>
      </c>
    </row>
    <row r="12" spans="1:12" ht="15.75">
      <c r="A12" s="85">
        <v>1</v>
      </c>
      <c r="B12" s="85">
        <v>2</v>
      </c>
      <c r="C12" s="85">
        <v>3</v>
      </c>
      <c r="D12" s="1020">
        <v>4</v>
      </c>
      <c r="E12" s="1020">
        <v>5</v>
      </c>
      <c r="F12" s="1020">
        <v>6</v>
      </c>
      <c r="G12" s="1020">
        <v>7</v>
      </c>
      <c r="H12" s="1020">
        <v>8</v>
      </c>
      <c r="I12" s="1020">
        <v>9</v>
      </c>
      <c r="J12" s="1020">
        <v>10</v>
      </c>
      <c r="K12" s="1021">
        <v>11</v>
      </c>
      <c r="L12" s="1020">
        <v>12</v>
      </c>
    </row>
    <row r="13" spans="1:12" ht="31.9" customHeight="1">
      <c r="A13" s="1019">
        <v>1</v>
      </c>
      <c r="B13" s="1018" t="s">
        <v>1110</v>
      </c>
      <c r="C13" s="1663"/>
      <c r="D13" s="1015">
        <v>0.01</v>
      </c>
      <c r="E13" s="1664"/>
      <c r="F13" s="1015">
        <v>0.18</v>
      </c>
      <c r="G13" s="1664"/>
      <c r="H13" s="1022">
        <v>0.25</v>
      </c>
      <c r="I13" s="1664"/>
      <c r="J13" s="1022">
        <v>2E-3</v>
      </c>
      <c r="K13" s="1667"/>
      <c r="L13" s="1015">
        <v>0</v>
      </c>
    </row>
    <row r="14" spans="1:12" ht="22.9" customHeight="1">
      <c r="A14" s="1019">
        <v>2</v>
      </c>
      <c r="B14" s="1017" t="s">
        <v>898</v>
      </c>
      <c r="C14" s="1663"/>
      <c r="D14" s="1015">
        <v>0.13</v>
      </c>
      <c r="E14" s="1665"/>
      <c r="F14" s="1015">
        <v>2.4300000000000002</v>
      </c>
      <c r="G14" s="1665"/>
      <c r="H14" s="1015">
        <v>1.0900000000000001</v>
      </c>
      <c r="I14" s="1665"/>
      <c r="J14" s="1015">
        <v>0.01</v>
      </c>
      <c r="K14" s="1667"/>
      <c r="L14" s="1015">
        <v>0</v>
      </c>
    </row>
    <row r="15" spans="1:12" ht="22.9" customHeight="1">
      <c r="A15" s="1019"/>
      <c r="B15" s="1016" t="s">
        <v>1003</v>
      </c>
      <c r="C15" s="1013"/>
      <c r="D15" s="1015">
        <f>D14+D13</f>
        <v>0.14000000000000001</v>
      </c>
      <c r="E15" s="1666"/>
      <c r="F15" s="1015">
        <f t="shared" ref="F15:L15" si="0">F14+F13</f>
        <v>2.6100000000000003</v>
      </c>
      <c r="G15" s="1666"/>
      <c r="H15" s="1022">
        <f t="shared" si="0"/>
        <v>1.34</v>
      </c>
      <c r="I15" s="1666"/>
      <c r="J15" s="1022">
        <f t="shared" si="0"/>
        <v>1.2E-2</v>
      </c>
      <c r="K15" s="1668"/>
      <c r="L15" s="1015">
        <f t="shared" si="0"/>
        <v>0</v>
      </c>
    </row>
    <row r="16" spans="1:12" ht="22.9" customHeight="1">
      <c r="A16" s="1027"/>
      <c r="B16" s="1669" t="s">
        <v>1111</v>
      </c>
      <c r="C16" s="1669"/>
      <c r="D16" s="1669"/>
      <c r="E16" s="1669"/>
      <c r="F16" s="1669"/>
      <c r="G16" s="1669"/>
      <c r="H16" s="1669"/>
      <c r="I16" s="1011"/>
      <c r="J16" s="1025"/>
      <c r="K16" s="1026"/>
      <c r="L16" s="1012"/>
    </row>
    <row r="17" spans="1:13" ht="12.75" customHeight="1">
      <c r="A17" s="1028"/>
      <c r="B17" s="1670" t="s">
        <v>1112</v>
      </c>
      <c r="C17" s="1670"/>
      <c r="D17" s="1670"/>
      <c r="E17" s="1670"/>
      <c r="F17" s="1670"/>
      <c r="G17" s="1670"/>
      <c r="H17" s="1670"/>
      <c r="I17" s="252"/>
      <c r="J17" s="252"/>
      <c r="K17" s="144"/>
      <c r="L17" s="144"/>
    </row>
    <row r="18" spans="1:13" ht="13.15" customHeight="1">
      <c r="A18" s="90"/>
      <c r="B18" s="108"/>
      <c r="C18" s="108"/>
      <c r="D18" s="1024"/>
      <c r="E18" s="1024"/>
      <c r="F18" s="1024"/>
      <c r="G18" s="1024"/>
      <c r="H18" s="1024"/>
      <c r="I18" s="1008"/>
      <c r="J18" s="1008"/>
      <c r="K18" s="144"/>
      <c r="L18" s="144"/>
    </row>
    <row r="19" spans="1:13" s="994" customFormat="1" ht="15.6" customHeight="1">
      <c r="A19" s="15" t="s">
        <v>12</v>
      </c>
      <c r="B19" s="15"/>
      <c r="C19" s="15"/>
      <c r="D19" s="1023"/>
      <c r="H19" s="1024"/>
      <c r="J19" s="1040" t="s">
        <v>1106</v>
      </c>
      <c r="K19" s="1040"/>
      <c r="L19" s="1040"/>
      <c r="M19" s="1040"/>
    </row>
    <row r="20" spans="1:13" s="994" customFormat="1" ht="15.6" customHeight="1">
      <c r="D20" s="1023"/>
      <c r="J20" s="1040" t="s">
        <v>481</v>
      </c>
      <c r="K20" s="1040"/>
      <c r="L20" s="1040"/>
      <c r="M20" s="1040"/>
    </row>
    <row r="21" spans="1:13" s="994" customFormat="1" ht="15.6" customHeight="1">
      <c r="J21" s="1040" t="s">
        <v>1107</v>
      </c>
      <c r="K21" s="1040"/>
      <c r="L21" s="1040"/>
      <c r="M21" s="1040"/>
    </row>
    <row r="22" spans="1:13" s="147" customFormat="1"/>
    <row r="23" spans="1:13" s="147" customFormat="1"/>
    <row r="31" spans="1:13" ht="15.75" customHeight="1"/>
    <row r="32" spans="1:13" ht="12.75" customHeight="1"/>
    <row r="33" ht="12.75" customHeight="1"/>
  </sheetData>
  <mergeCells count="23">
    <mergeCell ref="J19:M19"/>
    <mergeCell ref="J20:M20"/>
    <mergeCell ref="J21:M21"/>
    <mergeCell ref="C13:C14"/>
    <mergeCell ref="E13:E15"/>
    <mergeCell ref="G13:G15"/>
    <mergeCell ref="I13:I15"/>
    <mergeCell ref="K13:K15"/>
    <mergeCell ref="B16:H16"/>
    <mergeCell ref="B17:H17"/>
    <mergeCell ref="E2:I2"/>
    <mergeCell ref="B10:B11"/>
    <mergeCell ref="C10:D10"/>
    <mergeCell ref="E10:F10"/>
    <mergeCell ref="G10:H10"/>
    <mergeCell ref="I10:J10"/>
    <mergeCell ref="A3:J3"/>
    <mergeCell ref="A4:J4"/>
    <mergeCell ref="A6:L6"/>
    <mergeCell ref="A9:B9"/>
    <mergeCell ref="H9:J9"/>
    <mergeCell ref="A10:A11"/>
    <mergeCell ref="K10:L10"/>
  </mergeCells>
  <printOptions horizontalCentered="1"/>
  <pageMargins left="0.70866141732283472" right="0.70866141732283472" top="0.63" bottom="0" header="0.79" footer="0.31496062992125984"/>
  <pageSetup paperSize="9" orientation="landscape" r:id="rId1"/>
</worksheet>
</file>

<file path=xl/worksheets/sheet69.xml><?xml version="1.0" encoding="utf-8"?>
<worksheet xmlns="http://schemas.openxmlformats.org/spreadsheetml/2006/main" xmlns:r="http://schemas.openxmlformats.org/officeDocument/2006/relationships">
  <sheetPr>
    <pageSetUpPr fitToPage="1"/>
  </sheetPr>
  <dimension ref="A2:M32"/>
  <sheetViews>
    <sheetView zoomScaleSheetLayoutView="78" workbookViewId="0">
      <selection activeCell="L3" sqref="L3"/>
    </sheetView>
  </sheetViews>
  <sheetFormatPr defaultRowHeight="12.75"/>
  <cols>
    <col min="2" max="2" width="12.85546875" bestFit="1" customWidth="1"/>
    <col min="4" max="4" width="9.7109375" bestFit="1" customWidth="1"/>
    <col min="5" max="5" width="11.28515625" customWidth="1"/>
    <col min="6" max="7" width="10.5703125" customWidth="1"/>
    <col min="8" max="8" width="11.28515625" customWidth="1"/>
    <col min="9" max="9" width="11.7109375" customWidth="1"/>
    <col min="10" max="10" width="9.85546875" customWidth="1"/>
    <col min="11" max="11" width="11.140625" customWidth="1"/>
    <col min="12" max="12" width="12" customWidth="1"/>
  </cols>
  <sheetData>
    <row r="2" spans="1:12">
      <c r="A2" s="80"/>
      <c r="B2" s="80"/>
      <c r="C2" s="80"/>
      <c r="D2" s="80"/>
      <c r="E2" s="1657"/>
      <c r="F2" s="1657"/>
      <c r="G2" s="1657"/>
      <c r="H2" s="1657"/>
      <c r="I2" s="1657"/>
      <c r="J2" s="248" t="s">
        <v>746</v>
      </c>
      <c r="K2" s="80"/>
      <c r="L2" s="80"/>
    </row>
    <row r="3" spans="1:12" ht="15">
      <c r="A3" s="1660" t="s">
        <v>0</v>
      </c>
      <c r="B3" s="1660"/>
      <c r="C3" s="1660"/>
      <c r="D3" s="1660"/>
      <c r="E3" s="1660"/>
      <c r="F3" s="1660"/>
      <c r="G3" s="1660"/>
      <c r="H3" s="1660"/>
      <c r="I3" s="1660"/>
      <c r="J3" s="1660"/>
      <c r="K3" s="80"/>
      <c r="L3" s="80"/>
    </row>
    <row r="4" spans="1:12" ht="20.25">
      <c r="A4" s="1155" t="s">
        <v>636</v>
      </c>
      <c r="B4" s="1155"/>
      <c r="C4" s="1155"/>
      <c r="D4" s="1155"/>
      <c r="E4" s="1155"/>
      <c r="F4" s="1155"/>
      <c r="G4" s="1155"/>
      <c r="H4" s="1155"/>
      <c r="I4" s="1155"/>
      <c r="J4" s="1155"/>
      <c r="K4" s="80"/>
      <c r="L4" s="80"/>
    </row>
    <row r="5" spans="1:12">
      <c r="A5" s="80"/>
      <c r="B5" s="80"/>
      <c r="C5" s="80"/>
      <c r="D5" s="80"/>
      <c r="E5" s="80"/>
      <c r="F5" s="80"/>
      <c r="G5" s="80"/>
      <c r="H5" s="80"/>
      <c r="I5" s="80"/>
      <c r="J5" s="80"/>
      <c r="K5" s="80"/>
      <c r="L5" s="80"/>
    </row>
    <row r="6" spans="1:12" ht="15.75" customHeight="1">
      <c r="A6" s="1661" t="s">
        <v>747</v>
      </c>
      <c r="B6" s="1661"/>
      <c r="C6" s="1661"/>
      <c r="D6" s="1661"/>
      <c r="E6" s="1661"/>
      <c r="F6" s="1661"/>
      <c r="G6" s="1661"/>
      <c r="H6" s="1661"/>
      <c r="I6" s="1661"/>
      <c r="J6" s="1661"/>
      <c r="K6" s="1661"/>
      <c r="L6" s="1661"/>
    </row>
    <row r="7" spans="1:12">
      <c r="A7" s="249"/>
      <c r="B7" s="249"/>
      <c r="C7" s="249"/>
      <c r="D7" s="249"/>
      <c r="E7" s="249"/>
      <c r="F7" s="249"/>
      <c r="G7" s="249"/>
      <c r="H7" s="249"/>
      <c r="I7" s="249"/>
      <c r="J7" s="249"/>
      <c r="K7" s="144"/>
      <c r="L7" s="144"/>
    </row>
    <row r="8" spans="1:12">
      <c r="A8" s="144"/>
      <c r="B8" s="144"/>
      <c r="C8" s="144"/>
      <c r="D8" s="144"/>
      <c r="E8" s="144"/>
      <c r="F8" s="144"/>
      <c r="G8" s="144"/>
      <c r="H8" s="144"/>
      <c r="I8" s="144"/>
      <c r="J8" s="144"/>
      <c r="K8" s="144"/>
      <c r="L8" s="144"/>
    </row>
    <row r="9" spans="1:12">
      <c r="A9" s="1662" t="s">
        <v>739</v>
      </c>
      <c r="B9" s="1662"/>
      <c r="C9" s="250"/>
      <c r="D9" s="144"/>
      <c r="E9" s="144"/>
      <c r="F9" s="144"/>
      <c r="G9" s="144"/>
      <c r="H9" s="1300" t="s">
        <v>793</v>
      </c>
      <c r="I9" s="1300"/>
      <c r="J9" s="1300"/>
      <c r="K9" s="144"/>
      <c r="L9" s="144"/>
    </row>
    <row r="10" spans="1:12">
      <c r="A10" s="1662" t="s">
        <v>739</v>
      </c>
      <c r="B10" s="1662"/>
      <c r="C10" s="1010"/>
      <c r="D10" s="144"/>
      <c r="E10" s="144"/>
      <c r="F10" s="144"/>
      <c r="G10" s="144"/>
      <c r="H10" s="1300" t="s">
        <v>793</v>
      </c>
      <c r="I10" s="1300"/>
      <c r="J10" s="1300"/>
      <c r="K10" s="144"/>
      <c r="L10" s="144"/>
    </row>
    <row r="11" spans="1:12">
      <c r="A11" s="1658" t="s">
        <v>2</v>
      </c>
      <c r="B11" s="1658" t="s">
        <v>38</v>
      </c>
      <c r="C11" s="1659" t="s">
        <v>740</v>
      </c>
      <c r="D11" s="1659"/>
      <c r="E11" s="1659" t="s">
        <v>127</v>
      </c>
      <c r="F11" s="1659"/>
      <c r="G11" s="1659" t="s">
        <v>741</v>
      </c>
      <c r="H11" s="1659"/>
      <c r="I11" s="1659" t="s">
        <v>128</v>
      </c>
      <c r="J11" s="1659"/>
      <c r="K11" s="1659" t="s">
        <v>129</v>
      </c>
      <c r="L11" s="1659"/>
    </row>
    <row r="12" spans="1:12" ht="38.25">
      <c r="A12" s="1658"/>
      <c r="B12" s="1658"/>
      <c r="C12" s="1009" t="s">
        <v>742</v>
      </c>
      <c r="D12" s="1009" t="s">
        <v>743</v>
      </c>
      <c r="E12" s="1009" t="s">
        <v>744</v>
      </c>
      <c r="F12" s="1009" t="s">
        <v>745</v>
      </c>
      <c r="G12" s="1009" t="s">
        <v>744</v>
      </c>
      <c r="H12" s="1009" t="s">
        <v>745</v>
      </c>
      <c r="I12" s="1009" t="s">
        <v>742</v>
      </c>
      <c r="J12" s="1009" t="s">
        <v>743</v>
      </c>
      <c r="K12" s="1009" t="s">
        <v>742</v>
      </c>
      <c r="L12" s="1009" t="s">
        <v>743</v>
      </c>
    </row>
    <row r="13" spans="1:12" ht="13.15" customHeight="1">
      <c r="A13" s="1009">
        <v>1</v>
      </c>
      <c r="B13" s="1009">
        <v>2</v>
      </c>
      <c r="C13" s="1009">
        <v>3</v>
      </c>
      <c r="D13" s="1009">
        <v>4</v>
      </c>
      <c r="E13" s="1009">
        <v>5</v>
      </c>
      <c r="F13" s="1009">
        <v>6</v>
      </c>
      <c r="G13" s="1009">
        <v>7</v>
      </c>
      <c r="H13" s="1009">
        <v>8</v>
      </c>
      <c r="I13" s="1009">
        <v>9</v>
      </c>
      <c r="J13" s="1009">
        <v>10</v>
      </c>
      <c r="K13" s="1009">
        <v>11</v>
      </c>
      <c r="L13" s="1009">
        <v>12</v>
      </c>
    </row>
    <row r="14" spans="1:12" ht="29.45" customHeight="1">
      <c r="A14" s="1019">
        <v>1</v>
      </c>
      <c r="B14" s="1018" t="s">
        <v>1110</v>
      </c>
      <c r="C14" s="1671"/>
      <c r="D14" s="1022">
        <v>0.01</v>
      </c>
      <c r="E14" s="1664"/>
      <c r="F14" s="1015">
        <v>0.19</v>
      </c>
      <c r="G14" s="1664"/>
      <c r="H14" s="1015">
        <v>0</v>
      </c>
      <c r="I14" s="1664"/>
      <c r="J14" s="1022">
        <v>2E-3</v>
      </c>
      <c r="K14" s="1664"/>
      <c r="L14" s="1015">
        <v>0</v>
      </c>
    </row>
    <row r="15" spans="1:12" ht="24.6" customHeight="1">
      <c r="A15" s="1019">
        <v>2</v>
      </c>
      <c r="B15" s="1017" t="s">
        <v>898</v>
      </c>
      <c r="C15" s="1672"/>
      <c r="D15" s="1015">
        <v>0.15</v>
      </c>
      <c r="E15" s="1665"/>
      <c r="F15" s="1015">
        <v>2.61</v>
      </c>
      <c r="G15" s="1665"/>
      <c r="H15" s="1015">
        <v>0</v>
      </c>
      <c r="I15" s="1665"/>
      <c r="J15" s="1015">
        <v>0.01</v>
      </c>
      <c r="K15" s="1665"/>
      <c r="L15" s="1015">
        <v>0</v>
      </c>
    </row>
    <row r="16" spans="1:12" ht="16.149999999999999" customHeight="1">
      <c r="A16" s="1014"/>
      <c r="B16" s="1016" t="s">
        <v>1003</v>
      </c>
      <c r="C16" s="1013"/>
      <c r="D16" s="1022">
        <f>D14+D15</f>
        <v>0.16</v>
      </c>
      <c r="E16" s="1022"/>
      <c r="F16" s="1022">
        <f t="shared" ref="F16:L16" si="0">F14+F15</f>
        <v>2.8</v>
      </c>
      <c r="G16" s="1022"/>
      <c r="H16" s="1022">
        <f t="shared" si="0"/>
        <v>0</v>
      </c>
      <c r="I16" s="1022"/>
      <c r="J16" s="1022">
        <f t="shared" si="0"/>
        <v>1.2E-2</v>
      </c>
      <c r="K16" s="1022"/>
      <c r="L16" s="1022">
        <f t="shared" si="0"/>
        <v>0</v>
      </c>
    </row>
    <row r="17" spans="1:13" ht="16.149999999999999" customHeight="1">
      <c r="A17" s="90"/>
      <c r="B17" s="108"/>
      <c r="C17" s="108"/>
      <c r="D17" s="252"/>
      <c r="E17" s="252"/>
      <c r="F17" s="252"/>
      <c r="G17" s="252"/>
      <c r="H17" s="252"/>
      <c r="I17" s="252"/>
      <c r="J17" s="252"/>
      <c r="K17" s="144"/>
      <c r="L17" s="144"/>
    </row>
    <row r="18" spans="1:13" ht="12.75" customHeight="1">
      <c r="A18" s="90"/>
      <c r="B18" s="108"/>
      <c r="C18" s="108"/>
      <c r="D18" s="252"/>
      <c r="E18" s="252"/>
      <c r="F18" s="252"/>
      <c r="G18" s="252"/>
      <c r="H18" s="252"/>
      <c r="I18" s="252"/>
      <c r="J18" s="252"/>
      <c r="K18" s="144"/>
      <c r="L18" s="144"/>
    </row>
    <row r="19" spans="1:13" ht="12.75" customHeight="1">
      <c r="A19" s="90"/>
      <c r="B19" s="108"/>
      <c r="C19" s="108"/>
      <c r="D19" s="252"/>
      <c r="E19" s="252"/>
      <c r="F19" s="252"/>
      <c r="G19" s="252"/>
      <c r="H19" s="252"/>
      <c r="I19" s="252"/>
      <c r="J19" s="252"/>
      <c r="K19" s="144"/>
      <c r="L19" s="144"/>
    </row>
    <row r="20" spans="1:13" s="994" customFormat="1" ht="15.6" customHeight="1">
      <c r="A20" s="15" t="s">
        <v>12</v>
      </c>
      <c r="B20" s="15"/>
      <c r="C20" s="15"/>
      <c r="J20" s="1040" t="s">
        <v>1106</v>
      </c>
      <c r="K20" s="1040"/>
      <c r="L20" s="1040"/>
      <c r="M20" s="1040"/>
    </row>
    <row r="21" spans="1:13" s="994" customFormat="1" ht="15.6" customHeight="1">
      <c r="J21" s="1040" t="s">
        <v>481</v>
      </c>
      <c r="K21" s="1040"/>
      <c r="L21" s="1040"/>
      <c r="M21" s="1040"/>
    </row>
    <row r="22" spans="1:13" s="994" customFormat="1" ht="15.6" customHeight="1">
      <c r="J22" s="1040" t="s">
        <v>1107</v>
      </c>
      <c r="K22" s="1040"/>
      <c r="L22" s="1040"/>
      <c r="M22" s="1040"/>
    </row>
    <row r="23" spans="1:13">
      <c r="A23" s="93"/>
      <c r="B23" s="93"/>
      <c r="C23" s="93"/>
      <c r="D23" s="144"/>
      <c r="E23" s="93"/>
      <c r="F23" s="144"/>
      <c r="G23" s="144"/>
      <c r="H23" s="1662"/>
      <c r="I23" s="1662"/>
      <c r="J23" s="1662"/>
      <c r="K23" s="144"/>
      <c r="L23" s="144"/>
    </row>
    <row r="30" spans="1:13" ht="15.75" customHeight="1"/>
    <row r="31" spans="1:13" ht="12.75" customHeight="1"/>
    <row r="32" spans="1:13" ht="12.75" customHeight="1"/>
  </sheetData>
  <mergeCells count="24">
    <mergeCell ref="H23:J23"/>
    <mergeCell ref="J20:M20"/>
    <mergeCell ref="J21:M21"/>
    <mergeCell ref="J22:M22"/>
    <mergeCell ref="E2:I2"/>
    <mergeCell ref="A3:J3"/>
    <mergeCell ref="A4:J4"/>
    <mergeCell ref="A6:L6"/>
    <mergeCell ref="A9:B9"/>
    <mergeCell ref="H9:J9"/>
    <mergeCell ref="A10:B10"/>
    <mergeCell ref="H10:J10"/>
    <mergeCell ref="A11:A12"/>
    <mergeCell ref="B11:B12"/>
    <mergeCell ref="C11:D11"/>
    <mergeCell ref="E11:F11"/>
    <mergeCell ref="G11:H11"/>
    <mergeCell ref="I11:J11"/>
    <mergeCell ref="K11:L11"/>
    <mergeCell ref="C14:C15"/>
    <mergeCell ref="E14:E15"/>
    <mergeCell ref="G14:G15"/>
    <mergeCell ref="I14:I15"/>
    <mergeCell ref="K14:K15"/>
  </mergeCells>
  <printOptions horizontalCentered="1"/>
  <pageMargins left="0.70866141732283472" right="0.70866141732283472" top="0.63" bottom="0" header="0.79"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Q50"/>
  <sheetViews>
    <sheetView topLeftCell="A37" zoomScale="90" zoomScaleNormal="90" zoomScaleSheetLayoutView="100" workbookViewId="0">
      <selection activeCell="F48" sqref="F48:G48"/>
    </sheetView>
  </sheetViews>
  <sheetFormatPr defaultRowHeight="12.75"/>
  <cols>
    <col min="1" max="1" width="8.28515625" customWidth="1"/>
    <col min="2" max="2" width="18.42578125" customWidth="1"/>
    <col min="3" max="3" width="17.28515625" customWidth="1"/>
    <col min="4" max="4" width="21" customWidth="1"/>
    <col min="5" max="5" width="21.28515625" customWidth="1"/>
    <col min="6" max="6" width="20.7109375" customWidth="1"/>
    <col min="7" max="7" width="23.42578125" customWidth="1"/>
    <col min="8" max="8" width="22.7109375" customWidth="1"/>
    <col min="9" max="9" width="9.7109375" customWidth="1"/>
  </cols>
  <sheetData>
    <row r="1" spans="1:9" ht="18">
      <c r="A1" s="1176" t="s">
        <v>0</v>
      </c>
      <c r="B1" s="1176"/>
      <c r="C1" s="1176"/>
      <c r="D1" s="1176"/>
      <c r="E1" s="1176"/>
      <c r="F1" s="1176"/>
      <c r="G1" s="1176"/>
      <c r="H1" s="174" t="s">
        <v>261</v>
      </c>
    </row>
    <row r="2" spans="1:9" ht="21">
      <c r="A2" s="1177" t="s">
        <v>636</v>
      </c>
      <c r="B2" s="1177"/>
      <c r="C2" s="1177"/>
      <c r="D2" s="1177"/>
      <c r="E2" s="1177"/>
      <c r="F2" s="1177"/>
      <c r="G2" s="1177"/>
      <c r="H2" s="1177"/>
    </row>
    <row r="3" spans="1:9" ht="15">
      <c r="A3" s="176"/>
      <c r="B3" s="176"/>
    </row>
    <row r="4" spans="1:9" ht="18" customHeight="1">
      <c r="A4" s="1178" t="s">
        <v>640</v>
      </c>
      <c r="B4" s="1178"/>
      <c r="C4" s="1178"/>
      <c r="D4" s="1178"/>
      <c r="E4" s="1178"/>
      <c r="F4" s="1178"/>
      <c r="G4" s="1178"/>
      <c r="H4" s="1178"/>
    </row>
    <row r="5" spans="1:9" ht="15">
      <c r="A5" s="177" t="s">
        <v>824</v>
      </c>
      <c r="B5" s="177"/>
    </row>
    <row r="6" spans="1:9" ht="15">
      <c r="A6" s="177"/>
      <c r="B6" s="177"/>
      <c r="G6" s="1179" t="s">
        <v>792</v>
      </c>
      <c r="H6" s="1179"/>
      <c r="I6" s="103"/>
    </row>
    <row r="7" spans="1:9" s="777" customFormat="1" ht="59.25" customHeight="1">
      <c r="A7" s="789" t="s">
        <v>2</v>
      </c>
      <c r="B7" s="789" t="s">
        <v>3</v>
      </c>
      <c r="C7" s="788" t="s">
        <v>262</v>
      </c>
      <c r="D7" s="788" t="s">
        <v>263</v>
      </c>
      <c r="E7" s="788" t="s">
        <v>264</v>
      </c>
      <c r="F7" s="788" t="s">
        <v>265</v>
      </c>
      <c r="G7" s="788" t="s">
        <v>266</v>
      </c>
      <c r="H7" s="788" t="s">
        <v>267</v>
      </c>
    </row>
    <row r="8" spans="1:9" s="174" customFormat="1" ht="15">
      <c r="A8" s="179" t="s">
        <v>268</v>
      </c>
      <c r="B8" s="179" t="s">
        <v>269</v>
      </c>
      <c r="C8" s="179" t="s">
        <v>270</v>
      </c>
      <c r="D8" s="179" t="s">
        <v>271</v>
      </c>
      <c r="E8" s="179" t="s">
        <v>272</v>
      </c>
      <c r="F8" s="179" t="s">
        <v>273</v>
      </c>
      <c r="G8" s="179" t="s">
        <v>274</v>
      </c>
      <c r="H8" s="179" t="s">
        <v>275</v>
      </c>
    </row>
    <row r="9" spans="1:9" s="174" customFormat="1" ht="16.5">
      <c r="A9" s="179">
        <v>1</v>
      </c>
      <c r="B9" s="557" t="s">
        <v>825</v>
      </c>
      <c r="C9" s="558">
        <v>565</v>
      </c>
      <c r="D9" s="559">
        <v>142</v>
      </c>
      <c r="E9" s="559">
        <v>588</v>
      </c>
      <c r="F9" s="559">
        <f>+C9+D9+E9</f>
        <v>1295</v>
      </c>
      <c r="G9" s="559">
        <f>F9</f>
        <v>1295</v>
      </c>
      <c r="H9" s="179"/>
    </row>
    <row r="10" spans="1:9" s="174" customFormat="1" ht="16.5">
      <c r="A10" s="179">
        <v>2</v>
      </c>
      <c r="B10" s="557" t="s">
        <v>826</v>
      </c>
      <c r="C10" s="558">
        <v>45</v>
      </c>
      <c r="D10" s="559">
        <v>4</v>
      </c>
      <c r="E10" s="559">
        <v>762</v>
      </c>
      <c r="F10" s="559">
        <f t="shared" ref="F10:F41" si="0">+C10+D10+E10</f>
        <v>811</v>
      </c>
      <c r="G10" s="559">
        <f t="shared" ref="G10:G41" si="1">F10</f>
        <v>811</v>
      </c>
      <c r="H10" s="179"/>
    </row>
    <row r="11" spans="1:9" s="174" customFormat="1" ht="16.5">
      <c r="A11" s="179">
        <v>3</v>
      </c>
      <c r="B11" s="557" t="s">
        <v>827</v>
      </c>
      <c r="C11" s="558">
        <v>567</v>
      </c>
      <c r="D11" s="559">
        <v>0</v>
      </c>
      <c r="E11" s="559">
        <v>882</v>
      </c>
      <c r="F11" s="559">
        <f t="shared" si="0"/>
        <v>1449</v>
      </c>
      <c r="G11" s="559">
        <f t="shared" si="1"/>
        <v>1449</v>
      </c>
      <c r="H11" s="179"/>
    </row>
    <row r="12" spans="1:9" s="174" customFormat="1" ht="16.5">
      <c r="A12" s="179">
        <v>4</v>
      </c>
      <c r="B12" s="557" t="s">
        <v>828</v>
      </c>
      <c r="C12" s="558">
        <v>356</v>
      </c>
      <c r="D12" s="559">
        <v>13</v>
      </c>
      <c r="E12" s="559">
        <v>732</v>
      </c>
      <c r="F12" s="559">
        <f t="shared" si="0"/>
        <v>1101</v>
      </c>
      <c r="G12" s="559">
        <f t="shared" si="1"/>
        <v>1101</v>
      </c>
      <c r="H12" s="179"/>
    </row>
    <row r="13" spans="1:9" s="174" customFormat="1" ht="16.5">
      <c r="A13" s="179">
        <v>5</v>
      </c>
      <c r="B13" s="557" t="s">
        <v>829</v>
      </c>
      <c r="C13" s="558">
        <v>1255</v>
      </c>
      <c r="D13" s="559">
        <v>0</v>
      </c>
      <c r="E13" s="559">
        <v>1296</v>
      </c>
      <c r="F13" s="559">
        <f t="shared" si="0"/>
        <v>2551</v>
      </c>
      <c r="G13" s="559">
        <f t="shared" si="1"/>
        <v>2551</v>
      </c>
      <c r="H13" s="179"/>
    </row>
    <row r="14" spans="1:9" s="174" customFormat="1" ht="16.5">
      <c r="A14" s="179">
        <v>6</v>
      </c>
      <c r="B14" s="557" t="s">
        <v>830</v>
      </c>
      <c r="C14" s="558">
        <v>242</v>
      </c>
      <c r="D14" s="559">
        <v>15</v>
      </c>
      <c r="E14" s="559">
        <v>733</v>
      </c>
      <c r="F14" s="559">
        <f t="shared" si="0"/>
        <v>990</v>
      </c>
      <c r="G14" s="559">
        <f t="shared" si="1"/>
        <v>990</v>
      </c>
      <c r="H14" s="179"/>
    </row>
    <row r="15" spans="1:9" s="174" customFormat="1" ht="16.5">
      <c r="A15" s="179">
        <v>7</v>
      </c>
      <c r="B15" s="557" t="s">
        <v>831</v>
      </c>
      <c r="C15" s="558">
        <v>250</v>
      </c>
      <c r="D15" s="559">
        <v>0</v>
      </c>
      <c r="E15" s="559">
        <v>450</v>
      </c>
      <c r="F15" s="559">
        <f t="shared" si="0"/>
        <v>700</v>
      </c>
      <c r="G15" s="559">
        <f t="shared" si="1"/>
        <v>700</v>
      </c>
      <c r="H15" s="179"/>
    </row>
    <row r="16" spans="1:9" s="174" customFormat="1" ht="16.5">
      <c r="A16" s="179">
        <v>8</v>
      </c>
      <c r="B16" s="557" t="s">
        <v>832</v>
      </c>
      <c r="C16" s="558">
        <v>260</v>
      </c>
      <c r="D16" s="559">
        <v>5</v>
      </c>
      <c r="E16" s="559">
        <v>786</v>
      </c>
      <c r="F16" s="559">
        <f t="shared" si="0"/>
        <v>1051</v>
      </c>
      <c r="G16" s="559">
        <f t="shared" si="1"/>
        <v>1051</v>
      </c>
      <c r="H16" s="179"/>
    </row>
    <row r="17" spans="1:8" s="174" customFormat="1" ht="16.5">
      <c r="A17" s="179">
        <v>9</v>
      </c>
      <c r="B17" s="557" t="s">
        <v>833</v>
      </c>
      <c r="C17" s="558">
        <v>226</v>
      </c>
      <c r="D17" s="559">
        <v>0</v>
      </c>
      <c r="E17" s="559">
        <v>1565</v>
      </c>
      <c r="F17" s="559">
        <f t="shared" si="0"/>
        <v>1791</v>
      </c>
      <c r="G17" s="559">
        <f t="shared" si="1"/>
        <v>1791</v>
      </c>
      <c r="H17" s="179"/>
    </row>
    <row r="18" spans="1:8" s="174" customFormat="1" ht="16.5">
      <c r="A18" s="179">
        <v>10</v>
      </c>
      <c r="B18" s="557" t="s">
        <v>834</v>
      </c>
      <c r="C18" s="558">
        <v>254</v>
      </c>
      <c r="D18" s="559">
        <v>0</v>
      </c>
      <c r="E18" s="559">
        <v>178</v>
      </c>
      <c r="F18" s="559">
        <f t="shared" si="0"/>
        <v>432</v>
      </c>
      <c r="G18" s="559">
        <f t="shared" si="1"/>
        <v>432</v>
      </c>
      <c r="H18" s="179"/>
    </row>
    <row r="19" spans="1:8" s="174" customFormat="1" ht="16.5">
      <c r="A19" s="179">
        <v>11</v>
      </c>
      <c r="B19" s="557" t="s">
        <v>835</v>
      </c>
      <c r="C19" s="558">
        <v>127</v>
      </c>
      <c r="D19" s="559">
        <v>0</v>
      </c>
      <c r="E19" s="559">
        <v>502</v>
      </c>
      <c r="F19" s="559">
        <f t="shared" si="0"/>
        <v>629</v>
      </c>
      <c r="G19" s="559">
        <f t="shared" si="1"/>
        <v>629</v>
      </c>
      <c r="H19" s="179"/>
    </row>
    <row r="20" spans="1:8" s="174" customFormat="1" ht="16.5">
      <c r="A20" s="179">
        <v>12</v>
      </c>
      <c r="B20" s="557" t="s">
        <v>836</v>
      </c>
      <c r="C20" s="558">
        <v>618</v>
      </c>
      <c r="D20" s="559">
        <v>110</v>
      </c>
      <c r="E20" s="559">
        <v>731</v>
      </c>
      <c r="F20" s="559">
        <f t="shared" si="0"/>
        <v>1459</v>
      </c>
      <c r="G20" s="559">
        <f t="shared" si="1"/>
        <v>1459</v>
      </c>
      <c r="H20" s="179"/>
    </row>
    <row r="21" spans="1:8" s="174" customFormat="1" ht="16.5">
      <c r="A21" s="179">
        <v>13</v>
      </c>
      <c r="B21" s="557" t="s">
        <v>837</v>
      </c>
      <c r="C21" s="558">
        <v>789</v>
      </c>
      <c r="D21" s="559">
        <v>0</v>
      </c>
      <c r="E21" s="559">
        <v>945</v>
      </c>
      <c r="F21" s="559">
        <f t="shared" si="0"/>
        <v>1734</v>
      </c>
      <c r="G21" s="559">
        <f t="shared" si="1"/>
        <v>1734</v>
      </c>
      <c r="H21" s="179"/>
    </row>
    <row r="22" spans="1:8" s="174" customFormat="1" ht="16.5">
      <c r="A22" s="179">
        <v>14</v>
      </c>
      <c r="B22" s="557" t="s">
        <v>838</v>
      </c>
      <c r="C22" s="558">
        <v>24</v>
      </c>
      <c r="D22" s="559">
        <v>0</v>
      </c>
      <c r="E22" s="559">
        <v>770</v>
      </c>
      <c r="F22" s="559">
        <f t="shared" si="0"/>
        <v>794</v>
      </c>
      <c r="G22" s="559">
        <f t="shared" si="1"/>
        <v>794</v>
      </c>
      <c r="H22" s="179"/>
    </row>
    <row r="23" spans="1:8" s="174" customFormat="1" ht="16.5">
      <c r="A23" s="179">
        <v>15</v>
      </c>
      <c r="B23" s="557" t="s">
        <v>839</v>
      </c>
      <c r="C23" s="558">
        <v>111</v>
      </c>
      <c r="D23" s="559">
        <v>0</v>
      </c>
      <c r="E23" s="559">
        <v>713</v>
      </c>
      <c r="F23" s="559">
        <f t="shared" si="0"/>
        <v>824</v>
      </c>
      <c r="G23" s="559">
        <f t="shared" si="1"/>
        <v>824</v>
      </c>
      <c r="H23" s="179"/>
    </row>
    <row r="24" spans="1:8" s="174" customFormat="1" ht="16.5">
      <c r="A24" s="179">
        <v>16</v>
      </c>
      <c r="B24" s="557" t="s">
        <v>840</v>
      </c>
      <c r="C24" s="558">
        <v>85</v>
      </c>
      <c r="D24" s="559">
        <v>0</v>
      </c>
      <c r="E24" s="559">
        <v>250</v>
      </c>
      <c r="F24" s="559">
        <f t="shared" si="0"/>
        <v>335</v>
      </c>
      <c r="G24" s="559">
        <f t="shared" si="1"/>
        <v>335</v>
      </c>
      <c r="H24" s="179"/>
    </row>
    <row r="25" spans="1:8" s="174" customFormat="1" ht="16.5">
      <c r="A25" s="179">
        <v>17</v>
      </c>
      <c r="B25" s="557" t="s">
        <v>841</v>
      </c>
      <c r="C25" s="558">
        <v>146</v>
      </c>
      <c r="D25" s="559">
        <v>0</v>
      </c>
      <c r="E25" s="559">
        <v>956</v>
      </c>
      <c r="F25" s="559">
        <f t="shared" si="0"/>
        <v>1102</v>
      </c>
      <c r="G25" s="559">
        <f t="shared" si="1"/>
        <v>1102</v>
      </c>
      <c r="H25" s="179"/>
    </row>
    <row r="26" spans="1:8" s="174" customFormat="1" ht="16.5">
      <c r="A26" s="179">
        <v>18</v>
      </c>
      <c r="B26" s="557" t="s">
        <v>842</v>
      </c>
      <c r="C26" s="558">
        <v>172</v>
      </c>
      <c r="D26" s="559">
        <v>7</v>
      </c>
      <c r="E26" s="559">
        <v>676</v>
      </c>
      <c r="F26" s="559">
        <f t="shared" si="0"/>
        <v>855</v>
      </c>
      <c r="G26" s="559">
        <f t="shared" si="1"/>
        <v>855</v>
      </c>
      <c r="H26" s="179"/>
    </row>
    <row r="27" spans="1:8" s="174" customFormat="1" ht="16.5">
      <c r="A27" s="179">
        <v>19</v>
      </c>
      <c r="B27" s="557" t="s">
        <v>843</v>
      </c>
      <c r="C27" s="558">
        <v>43</v>
      </c>
      <c r="D27" s="559">
        <v>0</v>
      </c>
      <c r="E27" s="559">
        <v>994</v>
      </c>
      <c r="F27" s="559">
        <f>+C27+D27+E27</f>
        <v>1037</v>
      </c>
      <c r="G27" s="559">
        <f t="shared" si="1"/>
        <v>1037</v>
      </c>
      <c r="H27" s="179"/>
    </row>
    <row r="28" spans="1:8" s="174" customFormat="1" ht="16.5">
      <c r="A28" s="179">
        <v>20</v>
      </c>
      <c r="B28" s="557" t="s">
        <v>844</v>
      </c>
      <c r="C28" s="558">
        <v>436</v>
      </c>
      <c r="D28" s="559">
        <v>39</v>
      </c>
      <c r="E28" s="559">
        <v>842</v>
      </c>
      <c r="F28" s="559">
        <f t="shared" si="0"/>
        <v>1317</v>
      </c>
      <c r="G28" s="559">
        <f t="shared" si="1"/>
        <v>1317</v>
      </c>
      <c r="H28" s="179"/>
    </row>
    <row r="29" spans="1:8" s="174" customFormat="1" ht="16.5">
      <c r="A29" s="179">
        <v>21</v>
      </c>
      <c r="B29" s="557" t="s">
        <v>845</v>
      </c>
      <c r="C29" s="558">
        <v>564</v>
      </c>
      <c r="D29" s="559">
        <v>0</v>
      </c>
      <c r="E29" s="559">
        <v>808</v>
      </c>
      <c r="F29" s="559">
        <f t="shared" si="0"/>
        <v>1372</v>
      </c>
      <c r="G29" s="559">
        <f t="shared" si="1"/>
        <v>1372</v>
      </c>
      <c r="H29" s="179"/>
    </row>
    <row r="30" spans="1:8" s="174" customFormat="1" ht="16.5">
      <c r="A30" s="179">
        <v>22</v>
      </c>
      <c r="B30" s="557" t="s">
        <v>846</v>
      </c>
      <c r="C30" s="558">
        <v>71</v>
      </c>
      <c r="D30" s="559">
        <v>52</v>
      </c>
      <c r="E30" s="559">
        <v>787</v>
      </c>
      <c r="F30" s="559">
        <f t="shared" si="0"/>
        <v>910</v>
      </c>
      <c r="G30" s="559">
        <f t="shared" si="1"/>
        <v>910</v>
      </c>
      <c r="H30" s="179"/>
    </row>
    <row r="31" spans="1:8" s="174" customFormat="1" ht="16.5">
      <c r="A31" s="179">
        <v>23</v>
      </c>
      <c r="B31" s="557" t="s">
        <v>847</v>
      </c>
      <c r="C31" s="558">
        <v>643</v>
      </c>
      <c r="D31" s="559">
        <v>18</v>
      </c>
      <c r="E31" s="559">
        <v>583</v>
      </c>
      <c r="F31" s="559">
        <f t="shared" si="0"/>
        <v>1244</v>
      </c>
      <c r="G31" s="559">
        <f t="shared" si="1"/>
        <v>1244</v>
      </c>
      <c r="H31" s="179"/>
    </row>
    <row r="32" spans="1:8" s="174" customFormat="1" ht="16.5">
      <c r="A32" s="179">
        <v>24</v>
      </c>
      <c r="B32" s="557" t="s">
        <v>848</v>
      </c>
      <c r="C32" s="558">
        <v>534</v>
      </c>
      <c r="D32" s="559">
        <v>1</v>
      </c>
      <c r="E32" s="559">
        <v>473</v>
      </c>
      <c r="F32" s="559">
        <f t="shared" si="0"/>
        <v>1008</v>
      </c>
      <c r="G32" s="559">
        <f t="shared" si="1"/>
        <v>1008</v>
      </c>
      <c r="H32" s="179"/>
    </row>
    <row r="33" spans="1:17" ht="15">
      <c r="A33" s="179">
        <v>25</v>
      </c>
      <c r="B33" s="557" t="s">
        <v>849</v>
      </c>
      <c r="C33" s="560">
        <v>271</v>
      </c>
      <c r="D33" s="561">
        <v>0</v>
      </c>
      <c r="E33" s="561">
        <v>500</v>
      </c>
      <c r="F33" s="559">
        <f t="shared" si="0"/>
        <v>771</v>
      </c>
      <c r="G33" s="559">
        <f t="shared" si="1"/>
        <v>771</v>
      </c>
      <c r="H33" s="9"/>
      <c r="I33" s="174"/>
    </row>
    <row r="34" spans="1:17" ht="15">
      <c r="A34" s="179">
        <v>26</v>
      </c>
      <c r="B34" s="557" t="s">
        <v>850</v>
      </c>
      <c r="C34" s="560">
        <v>487</v>
      </c>
      <c r="D34" s="561">
        <v>0</v>
      </c>
      <c r="E34" s="561">
        <v>332</v>
      </c>
      <c r="F34" s="559">
        <f t="shared" si="0"/>
        <v>819</v>
      </c>
      <c r="G34" s="559">
        <f t="shared" si="1"/>
        <v>819</v>
      </c>
      <c r="H34" s="9"/>
      <c r="I34" s="174"/>
    </row>
    <row r="35" spans="1:17" ht="15">
      <c r="A35" s="179">
        <v>27</v>
      </c>
      <c r="B35" s="562" t="s">
        <v>851</v>
      </c>
      <c r="C35" s="560">
        <v>552</v>
      </c>
      <c r="D35" s="561">
        <v>337</v>
      </c>
      <c r="E35" s="561">
        <v>392</v>
      </c>
      <c r="F35" s="559">
        <f t="shared" si="0"/>
        <v>1281</v>
      </c>
      <c r="G35" s="559">
        <f t="shared" si="1"/>
        <v>1281</v>
      </c>
      <c r="H35" s="9"/>
      <c r="I35" s="174"/>
    </row>
    <row r="36" spans="1:17" ht="15">
      <c r="A36" s="179">
        <v>28</v>
      </c>
      <c r="B36" s="563" t="s">
        <v>852</v>
      </c>
      <c r="C36" s="560">
        <v>17</v>
      </c>
      <c r="D36" s="561">
        <v>3</v>
      </c>
      <c r="E36" s="561">
        <v>241</v>
      </c>
      <c r="F36" s="559">
        <f t="shared" si="0"/>
        <v>261</v>
      </c>
      <c r="G36" s="559">
        <f t="shared" si="1"/>
        <v>261</v>
      </c>
      <c r="H36" s="9"/>
      <c r="I36" s="174"/>
    </row>
    <row r="37" spans="1:17" ht="15">
      <c r="A37" s="179">
        <v>29</v>
      </c>
      <c r="B37" s="563" t="s">
        <v>1041</v>
      </c>
      <c r="C37" s="560">
        <v>819</v>
      </c>
      <c r="D37" s="561">
        <v>0</v>
      </c>
      <c r="E37" s="561">
        <v>474</v>
      </c>
      <c r="F37" s="559">
        <f t="shared" si="0"/>
        <v>1293</v>
      </c>
      <c r="G37" s="559">
        <f t="shared" si="1"/>
        <v>1293</v>
      </c>
      <c r="H37" s="9"/>
      <c r="I37" s="174"/>
    </row>
    <row r="38" spans="1:17" ht="15">
      <c r="A38" s="179">
        <v>30</v>
      </c>
      <c r="B38" s="563" t="s">
        <v>1042</v>
      </c>
      <c r="C38" s="560">
        <v>108</v>
      </c>
      <c r="D38" s="561">
        <v>0</v>
      </c>
      <c r="E38" s="561">
        <v>553</v>
      </c>
      <c r="F38" s="559">
        <f t="shared" si="0"/>
        <v>661</v>
      </c>
      <c r="G38" s="559">
        <f t="shared" si="1"/>
        <v>661</v>
      </c>
      <c r="H38" s="9"/>
      <c r="I38" s="174"/>
    </row>
    <row r="39" spans="1:17" ht="15">
      <c r="A39" s="179">
        <v>31</v>
      </c>
      <c r="B39" s="563" t="s">
        <v>1043</v>
      </c>
      <c r="C39" s="560">
        <v>59</v>
      </c>
      <c r="D39" s="561">
        <v>0</v>
      </c>
      <c r="E39" s="561">
        <v>535</v>
      </c>
      <c r="F39" s="559">
        <f t="shared" si="0"/>
        <v>594</v>
      </c>
      <c r="G39" s="559">
        <f t="shared" si="1"/>
        <v>594</v>
      </c>
      <c r="H39" s="9"/>
      <c r="I39" s="174"/>
    </row>
    <row r="40" spans="1:17" ht="15">
      <c r="A40" s="179">
        <v>32</v>
      </c>
      <c r="B40" s="563" t="s">
        <v>1044</v>
      </c>
      <c r="C40" s="560">
        <v>697</v>
      </c>
      <c r="D40" s="561">
        <v>0</v>
      </c>
      <c r="E40" s="561">
        <v>544</v>
      </c>
      <c r="F40" s="559">
        <f t="shared" si="0"/>
        <v>1241</v>
      </c>
      <c r="G40" s="559">
        <f t="shared" si="1"/>
        <v>1241</v>
      </c>
      <c r="H40" s="9"/>
      <c r="I40" s="174"/>
    </row>
    <row r="41" spans="1:17" ht="15">
      <c r="A41" s="179">
        <v>33</v>
      </c>
      <c r="B41" s="563" t="s">
        <v>857</v>
      </c>
      <c r="C41" s="560">
        <v>27</v>
      </c>
      <c r="D41" s="561">
        <v>26</v>
      </c>
      <c r="E41" s="561">
        <v>542</v>
      </c>
      <c r="F41" s="559">
        <f t="shared" si="0"/>
        <v>595</v>
      </c>
      <c r="G41" s="559">
        <f t="shared" si="1"/>
        <v>595</v>
      </c>
      <c r="H41" s="9"/>
      <c r="I41" s="174"/>
    </row>
    <row r="42" spans="1:17" ht="15">
      <c r="A42" s="9"/>
      <c r="B42" s="564" t="s">
        <v>18</v>
      </c>
      <c r="C42" s="565">
        <f>SUM(C9:C41)</f>
        <v>11420</v>
      </c>
      <c r="D42" s="565">
        <f>SUM(D9:D41)</f>
        <v>772</v>
      </c>
      <c r="E42" s="565">
        <f>SUM(E9:E41)</f>
        <v>22115</v>
      </c>
      <c r="F42" s="565">
        <f>SUM(F9:F41)</f>
        <v>34307</v>
      </c>
      <c r="G42" s="565">
        <f>SUM(G9:G41)</f>
        <v>34307</v>
      </c>
      <c r="H42" s="9"/>
      <c r="I42" s="174"/>
    </row>
    <row r="43" spans="1:17">
      <c r="A43" s="180" t="s">
        <v>276</v>
      </c>
    </row>
    <row r="46" spans="1:17" s="991" customFormat="1">
      <c r="A46" s="15" t="s">
        <v>12</v>
      </c>
      <c r="B46" s="15"/>
      <c r="C46" s="15"/>
      <c r="D46" s="15"/>
      <c r="E46" s="15"/>
      <c r="F46" s="15"/>
      <c r="G46" s="15"/>
      <c r="I46" s="15"/>
      <c r="O46" s="990"/>
      <c r="P46" s="990"/>
      <c r="Q46" s="990"/>
    </row>
    <row r="47" spans="1:17" ht="15.6" customHeight="1">
      <c r="B47" s="989"/>
      <c r="C47" s="989"/>
      <c r="D47" s="989"/>
      <c r="E47" s="989"/>
      <c r="F47" s="989"/>
      <c r="G47" s="989"/>
      <c r="H47" s="989"/>
      <c r="I47" s="989"/>
      <c r="J47" s="989"/>
      <c r="N47" s="989"/>
    </row>
    <row r="48" spans="1:17" ht="15.6" customHeight="1">
      <c r="B48" s="989"/>
      <c r="C48" s="989"/>
      <c r="D48" s="989"/>
      <c r="E48" s="989"/>
      <c r="F48" s="1040" t="s">
        <v>1106</v>
      </c>
      <c r="G48" s="1040"/>
      <c r="H48" s="997"/>
      <c r="J48" s="989"/>
      <c r="N48" s="989"/>
    </row>
    <row r="49" spans="1:15" ht="15.6" customHeight="1">
      <c r="A49" s="989" t="s">
        <v>1105</v>
      </c>
      <c r="B49" s="989"/>
      <c r="C49" s="989"/>
      <c r="D49" s="989"/>
      <c r="E49" s="989"/>
      <c r="F49" s="1040" t="s">
        <v>481</v>
      </c>
      <c r="G49" s="1040"/>
      <c r="H49" s="997"/>
      <c r="J49" s="989"/>
      <c r="N49" s="989"/>
    </row>
    <row r="50" spans="1:15" ht="15.6" customHeight="1">
      <c r="A50" s="246"/>
      <c r="B50" s="246"/>
      <c r="C50" s="246"/>
      <c r="D50" s="246"/>
      <c r="E50" s="246"/>
      <c r="F50" s="1040" t="s">
        <v>1107</v>
      </c>
      <c r="G50" s="1040"/>
      <c r="H50" s="997"/>
      <c r="J50" s="246"/>
      <c r="K50" s="246"/>
      <c r="L50" s="246"/>
      <c r="M50" s="246"/>
      <c r="N50" s="246"/>
      <c r="O50" s="246"/>
    </row>
  </sheetData>
  <mergeCells count="7">
    <mergeCell ref="F48:G48"/>
    <mergeCell ref="F50:G50"/>
    <mergeCell ref="F49:G49"/>
    <mergeCell ref="A1:G1"/>
    <mergeCell ref="A2:H2"/>
    <mergeCell ref="A4:H4"/>
    <mergeCell ref="G6:H6"/>
  </mergeCells>
  <printOptions horizontalCentered="1"/>
  <pageMargins left="0.70866141732283472" right="0.70866141732283472" top="0.63" bottom="0" header="0.79"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S57"/>
  <sheetViews>
    <sheetView topLeftCell="A49" zoomScaleSheetLayoutView="85" workbookViewId="0">
      <selection activeCell="E13" sqref="E13"/>
    </sheetView>
  </sheetViews>
  <sheetFormatPr defaultRowHeight="12.75"/>
  <cols>
    <col min="1" max="1" width="8" customWidth="1"/>
    <col min="2" max="2" width="16.28515625" customWidth="1"/>
    <col min="3" max="3" width="17.7109375" customWidth="1"/>
    <col min="5" max="5" width="9.42578125" customWidth="1"/>
    <col min="6" max="6" width="9.7109375" customWidth="1"/>
    <col min="7" max="7" width="10" customWidth="1"/>
    <col min="8" max="8" width="16.7109375" customWidth="1"/>
    <col min="10" max="10" width="10.7109375" customWidth="1"/>
    <col min="11" max="11" width="8.7109375" customWidth="1"/>
    <col min="12" max="12" width="9.7109375" customWidth="1"/>
    <col min="13" max="13" width="8.7109375" customWidth="1"/>
    <col min="14" max="14" width="11" customWidth="1"/>
  </cols>
  <sheetData>
    <row r="1" spans="1:19" ht="12.75" customHeight="1">
      <c r="D1" s="1114"/>
      <c r="E1" s="1114"/>
      <c r="F1" s="1114"/>
      <c r="G1" s="1114"/>
      <c r="H1" s="1114"/>
      <c r="I1" s="1114"/>
      <c r="L1" s="1185" t="s">
        <v>87</v>
      </c>
      <c r="M1" s="1185"/>
    </row>
    <row r="2" spans="1:19" ht="15.75">
      <c r="A2" s="1111" t="s">
        <v>0</v>
      </c>
      <c r="B2" s="1111"/>
      <c r="C2" s="1111"/>
      <c r="D2" s="1111"/>
      <c r="E2" s="1111"/>
      <c r="F2" s="1111"/>
      <c r="G2" s="1111"/>
      <c r="H2" s="1111"/>
      <c r="I2" s="1111"/>
      <c r="J2" s="1111"/>
      <c r="K2" s="1111"/>
      <c r="L2" s="1111"/>
      <c r="M2" s="1111"/>
    </row>
    <row r="3" spans="1:19" ht="20.25">
      <c r="A3" s="1112" t="s">
        <v>636</v>
      </c>
      <c r="B3" s="1112"/>
      <c r="C3" s="1112"/>
      <c r="D3" s="1112"/>
      <c r="E3" s="1112"/>
      <c r="F3" s="1112"/>
      <c r="G3" s="1112"/>
      <c r="H3" s="1112"/>
      <c r="I3" s="1112"/>
      <c r="J3" s="1112"/>
      <c r="K3" s="1112"/>
      <c r="L3" s="1112"/>
      <c r="M3" s="1112"/>
    </row>
    <row r="4" spans="1:19" ht="11.25" customHeight="1"/>
    <row r="5" spans="1:19" ht="15.75">
      <c r="A5" s="1111" t="s">
        <v>641</v>
      </c>
      <c r="B5" s="1111"/>
      <c r="C5" s="1111"/>
      <c r="D5" s="1111"/>
      <c r="E5" s="1111"/>
      <c r="F5" s="1111"/>
      <c r="G5" s="1111"/>
      <c r="H5" s="1111"/>
      <c r="I5" s="1111"/>
      <c r="J5" s="1111"/>
      <c r="K5" s="1111"/>
      <c r="L5" s="1111"/>
      <c r="M5" s="1111"/>
    </row>
    <row r="7" spans="1:19">
      <c r="A7" s="1092" t="s">
        <v>1045</v>
      </c>
      <c r="B7" s="1092"/>
      <c r="K7" s="103"/>
      <c r="L7" s="1180" t="s">
        <v>792</v>
      </c>
      <c r="M7" s="1180"/>
      <c r="N7" s="1180"/>
    </row>
    <row r="8" spans="1:19">
      <c r="A8" s="31"/>
      <c r="B8" s="31"/>
      <c r="K8" s="95"/>
      <c r="L8" s="114"/>
      <c r="M8" s="121"/>
      <c r="N8" s="114"/>
    </row>
    <row r="9" spans="1:19" ht="15.75" customHeight="1">
      <c r="A9" s="1181" t="s">
        <v>2</v>
      </c>
      <c r="B9" s="1181" t="s">
        <v>3</v>
      </c>
      <c r="C9" s="1066" t="s">
        <v>4</v>
      </c>
      <c r="D9" s="1066"/>
      <c r="E9" s="1066"/>
      <c r="F9" s="1070"/>
      <c r="G9" s="1184"/>
      <c r="H9" s="1183" t="s">
        <v>101</v>
      </c>
      <c r="I9" s="1183"/>
      <c r="J9" s="1183"/>
      <c r="K9" s="1183"/>
      <c r="L9" s="1183"/>
      <c r="M9" s="1181" t="s">
        <v>134</v>
      </c>
      <c r="N9" s="1083" t="s">
        <v>135</v>
      </c>
    </row>
    <row r="10" spans="1:19" ht="38.25">
      <c r="A10" s="1182"/>
      <c r="B10" s="1182"/>
      <c r="C10" s="5" t="s">
        <v>5</v>
      </c>
      <c r="D10" s="5" t="s">
        <v>6</v>
      </c>
      <c r="E10" s="5" t="s">
        <v>356</v>
      </c>
      <c r="F10" s="7" t="s">
        <v>99</v>
      </c>
      <c r="G10" s="6" t="s">
        <v>357</v>
      </c>
      <c r="H10" s="5" t="s">
        <v>5</v>
      </c>
      <c r="I10" s="5" t="s">
        <v>6</v>
      </c>
      <c r="J10" s="5" t="s">
        <v>356</v>
      </c>
      <c r="K10" s="7" t="s">
        <v>99</v>
      </c>
      <c r="L10" s="7" t="s">
        <v>358</v>
      </c>
      <c r="M10" s="1182"/>
      <c r="N10" s="1083"/>
      <c r="R10" s="13"/>
      <c r="S10" s="13"/>
    </row>
    <row r="11" spans="1:19" s="15" customFormat="1">
      <c r="A11" s="5">
        <v>1</v>
      </c>
      <c r="B11" s="5">
        <v>2</v>
      </c>
      <c r="C11" s="5">
        <v>3</v>
      </c>
      <c r="D11" s="5">
        <v>4</v>
      </c>
      <c r="E11" s="5">
        <v>5</v>
      </c>
      <c r="F11" s="5">
        <v>6</v>
      </c>
      <c r="G11" s="5">
        <v>7</v>
      </c>
      <c r="H11" s="5">
        <v>8</v>
      </c>
      <c r="I11" s="5">
        <v>9</v>
      </c>
      <c r="J11" s="5">
        <v>10</v>
      </c>
      <c r="K11" s="5">
        <v>11</v>
      </c>
      <c r="L11" s="5">
        <v>12</v>
      </c>
      <c r="M11" s="5">
        <v>13</v>
      </c>
      <c r="N11" s="5">
        <v>14</v>
      </c>
    </row>
    <row r="12" spans="1:19" s="15" customFormat="1" ht="15">
      <c r="A12" s="179">
        <v>1</v>
      </c>
      <c r="B12" s="557" t="s">
        <v>825</v>
      </c>
      <c r="C12" s="566">
        <v>565</v>
      </c>
      <c r="D12" s="566">
        <v>0</v>
      </c>
      <c r="E12" s="566">
        <v>0</v>
      </c>
      <c r="F12" s="567">
        <v>0</v>
      </c>
      <c r="G12" s="567">
        <f>C12+D12+E12+F12</f>
        <v>565</v>
      </c>
      <c r="H12" s="566">
        <v>565</v>
      </c>
      <c r="I12" s="566">
        <v>0</v>
      </c>
      <c r="J12" s="566">
        <v>0</v>
      </c>
      <c r="K12" s="566">
        <v>0</v>
      </c>
      <c r="L12" s="566">
        <f>H12+I12+J12+K12</f>
        <v>565</v>
      </c>
      <c r="M12" s="566">
        <f>G12-L12</f>
        <v>0</v>
      </c>
      <c r="N12" s="5"/>
    </row>
    <row r="13" spans="1:19" s="15" customFormat="1" ht="15">
      <c r="A13" s="179">
        <v>2</v>
      </c>
      <c r="B13" s="557" t="s">
        <v>826</v>
      </c>
      <c r="C13" s="566">
        <v>44</v>
      </c>
      <c r="D13" s="566">
        <v>1</v>
      </c>
      <c r="E13" s="566">
        <v>0</v>
      </c>
      <c r="F13" s="567">
        <v>0</v>
      </c>
      <c r="G13" s="567">
        <f t="shared" ref="G13:G44" si="0">C13+D13+E13+F13</f>
        <v>45</v>
      </c>
      <c r="H13" s="566">
        <v>44</v>
      </c>
      <c r="I13" s="566">
        <v>1</v>
      </c>
      <c r="J13" s="566">
        <v>0</v>
      </c>
      <c r="K13" s="566">
        <v>0</v>
      </c>
      <c r="L13" s="566">
        <f t="shared" ref="L13:L44" si="1">H13+I13+J13+K13</f>
        <v>45</v>
      </c>
      <c r="M13" s="566">
        <f t="shared" ref="M13:M44" si="2">G13-L13</f>
        <v>0</v>
      </c>
      <c r="N13" s="5"/>
    </row>
    <row r="14" spans="1:19" s="15" customFormat="1" ht="15">
      <c r="A14" s="179">
        <v>3</v>
      </c>
      <c r="B14" s="557" t="s">
        <v>827</v>
      </c>
      <c r="C14" s="566">
        <v>567</v>
      </c>
      <c r="D14" s="566">
        <v>0</v>
      </c>
      <c r="E14" s="566">
        <v>0</v>
      </c>
      <c r="F14" s="567">
        <v>0</v>
      </c>
      <c r="G14" s="567">
        <f t="shared" si="0"/>
        <v>567</v>
      </c>
      <c r="H14" s="566">
        <v>567</v>
      </c>
      <c r="I14" s="566">
        <v>0</v>
      </c>
      <c r="J14" s="566">
        <v>0</v>
      </c>
      <c r="K14" s="566">
        <v>0</v>
      </c>
      <c r="L14" s="566">
        <f t="shared" si="1"/>
        <v>567</v>
      </c>
      <c r="M14" s="566">
        <f t="shared" si="2"/>
        <v>0</v>
      </c>
      <c r="N14" s="5"/>
    </row>
    <row r="15" spans="1:19" s="15" customFormat="1" ht="15">
      <c r="A15" s="179">
        <v>4</v>
      </c>
      <c r="B15" s="557" t="s">
        <v>828</v>
      </c>
      <c r="C15" s="566">
        <v>341</v>
      </c>
      <c r="D15" s="566">
        <v>15</v>
      </c>
      <c r="E15" s="566">
        <v>0</v>
      </c>
      <c r="F15" s="567">
        <v>0</v>
      </c>
      <c r="G15" s="567">
        <f t="shared" si="0"/>
        <v>356</v>
      </c>
      <c r="H15" s="566">
        <v>341</v>
      </c>
      <c r="I15" s="566">
        <v>15</v>
      </c>
      <c r="J15" s="566">
        <v>0</v>
      </c>
      <c r="K15" s="566">
        <v>0</v>
      </c>
      <c r="L15" s="566">
        <f t="shared" si="1"/>
        <v>356</v>
      </c>
      <c r="M15" s="566">
        <f t="shared" si="2"/>
        <v>0</v>
      </c>
      <c r="N15" s="5"/>
    </row>
    <row r="16" spans="1:19" s="15" customFormat="1" ht="15">
      <c r="A16" s="179">
        <v>5</v>
      </c>
      <c r="B16" s="557" t="s">
        <v>829</v>
      </c>
      <c r="C16" s="566">
        <v>998</v>
      </c>
      <c r="D16" s="566">
        <v>2</v>
      </c>
      <c r="E16" s="566">
        <v>255</v>
      </c>
      <c r="F16" s="567">
        <v>0</v>
      </c>
      <c r="G16" s="567">
        <f t="shared" si="0"/>
        <v>1255</v>
      </c>
      <c r="H16" s="566">
        <v>998</v>
      </c>
      <c r="I16" s="566">
        <v>2</v>
      </c>
      <c r="J16" s="566">
        <v>255</v>
      </c>
      <c r="K16" s="566">
        <v>0</v>
      </c>
      <c r="L16" s="566">
        <f t="shared" si="1"/>
        <v>1255</v>
      </c>
      <c r="M16" s="566">
        <f t="shared" si="2"/>
        <v>0</v>
      </c>
      <c r="N16" s="5"/>
    </row>
    <row r="17" spans="1:14" s="15" customFormat="1" ht="15">
      <c r="A17" s="179">
        <v>6</v>
      </c>
      <c r="B17" s="557" t="s">
        <v>830</v>
      </c>
      <c r="C17" s="566">
        <v>242</v>
      </c>
      <c r="D17" s="566">
        <v>0</v>
      </c>
      <c r="E17" s="566">
        <v>0</v>
      </c>
      <c r="F17" s="567">
        <v>0</v>
      </c>
      <c r="G17" s="567">
        <f t="shared" si="0"/>
        <v>242</v>
      </c>
      <c r="H17" s="566">
        <v>242</v>
      </c>
      <c r="I17" s="566">
        <v>0</v>
      </c>
      <c r="J17" s="566">
        <v>0</v>
      </c>
      <c r="K17" s="566">
        <v>0</v>
      </c>
      <c r="L17" s="566">
        <f t="shared" si="1"/>
        <v>242</v>
      </c>
      <c r="M17" s="566">
        <f t="shared" si="2"/>
        <v>0</v>
      </c>
      <c r="N17" s="5"/>
    </row>
    <row r="18" spans="1:14" s="15" customFormat="1" ht="15">
      <c r="A18" s="179">
        <v>7</v>
      </c>
      <c r="B18" s="557" t="s">
        <v>831</v>
      </c>
      <c r="C18" s="566">
        <v>250</v>
      </c>
      <c r="D18" s="566">
        <v>0</v>
      </c>
      <c r="E18" s="566">
        <v>0</v>
      </c>
      <c r="F18" s="567">
        <v>0</v>
      </c>
      <c r="G18" s="567">
        <f t="shared" si="0"/>
        <v>250</v>
      </c>
      <c r="H18" s="566">
        <v>250</v>
      </c>
      <c r="I18" s="566">
        <v>0</v>
      </c>
      <c r="J18" s="566">
        <v>0</v>
      </c>
      <c r="K18" s="566">
        <v>0</v>
      </c>
      <c r="L18" s="566">
        <f t="shared" si="1"/>
        <v>250</v>
      </c>
      <c r="M18" s="566">
        <f t="shared" si="2"/>
        <v>0</v>
      </c>
      <c r="N18" s="5"/>
    </row>
    <row r="19" spans="1:14" s="15" customFormat="1" ht="15">
      <c r="A19" s="179">
        <v>8</v>
      </c>
      <c r="B19" s="557" t="s">
        <v>832</v>
      </c>
      <c r="C19" s="566">
        <v>260</v>
      </c>
      <c r="D19" s="566">
        <v>0</v>
      </c>
      <c r="E19" s="566">
        <v>0</v>
      </c>
      <c r="F19" s="567">
        <v>0</v>
      </c>
      <c r="G19" s="567">
        <f t="shared" si="0"/>
        <v>260</v>
      </c>
      <c r="H19" s="566">
        <v>260</v>
      </c>
      <c r="I19" s="566">
        <v>0</v>
      </c>
      <c r="J19" s="566">
        <v>0</v>
      </c>
      <c r="K19" s="566">
        <v>0</v>
      </c>
      <c r="L19" s="566">
        <f t="shared" si="1"/>
        <v>260</v>
      </c>
      <c r="M19" s="566">
        <f t="shared" si="2"/>
        <v>0</v>
      </c>
      <c r="N19" s="5"/>
    </row>
    <row r="20" spans="1:14" s="15" customFormat="1" ht="15">
      <c r="A20" s="179">
        <v>9</v>
      </c>
      <c r="B20" s="557" t="s">
        <v>833</v>
      </c>
      <c r="C20" s="566">
        <v>221</v>
      </c>
      <c r="D20" s="566">
        <v>5</v>
      </c>
      <c r="E20" s="566">
        <v>0</v>
      </c>
      <c r="F20" s="567">
        <v>0</v>
      </c>
      <c r="G20" s="567">
        <f t="shared" si="0"/>
        <v>226</v>
      </c>
      <c r="H20" s="566">
        <v>221</v>
      </c>
      <c r="I20" s="566">
        <v>5</v>
      </c>
      <c r="J20" s="566">
        <v>0</v>
      </c>
      <c r="K20" s="566">
        <v>0</v>
      </c>
      <c r="L20" s="566">
        <f t="shared" si="1"/>
        <v>226</v>
      </c>
      <c r="M20" s="566">
        <f t="shared" si="2"/>
        <v>0</v>
      </c>
      <c r="N20" s="5"/>
    </row>
    <row r="21" spans="1:14" s="15" customFormat="1" ht="15">
      <c r="A21" s="179">
        <v>10</v>
      </c>
      <c r="B21" s="557" t="s">
        <v>834</v>
      </c>
      <c r="C21" s="566">
        <v>254</v>
      </c>
      <c r="D21" s="566">
        <v>0</v>
      </c>
      <c r="E21" s="566">
        <v>0</v>
      </c>
      <c r="F21" s="567">
        <v>0</v>
      </c>
      <c r="G21" s="567">
        <f t="shared" si="0"/>
        <v>254</v>
      </c>
      <c r="H21" s="566">
        <v>254</v>
      </c>
      <c r="I21" s="566">
        <v>0</v>
      </c>
      <c r="J21" s="566">
        <v>0</v>
      </c>
      <c r="K21" s="566">
        <v>0</v>
      </c>
      <c r="L21" s="566">
        <f t="shared" si="1"/>
        <v>254</v>
      </c>
      <c r="M21" s="566">
        <f t="shared" si="2"/>
        <v>0</v>
      </c>
      <c r="N21" s="5"/>
    </row>
    <row r="22" spans="1:14" s="15" customFormat="1" ht="15">
      <c r="A22" s="179">
        <v>11</v>
      </c>
      <c r="B22" s="557" t="s">
        <v>835</v>
      </c>
      <c r="C22" s="566">
        <v>123</v>
      </c>
      <c r="D22" s="566">
        <v>4</v>
      </c>
      <c r="E22" s="566">
        <v>0</v>
      </c>
      <c r="F22" s="567">
        <v>0</v>
      </c>
      <c r="G22" s="567">
        <f t="shared" si="0"/>
        <v>127</v>
      </c>
      <c r="H22" s="566">
        <v>123</v>
      </c>
      <c r="I22" s="566">
        <v>4</v>
      </c>
      <c r="J22" s="566">
        <v>0</v>
      </c>
      <c r="K22" s="566">
        <v>0</v>
      </c>
      <c r="L22" s="566">
        <f t="shared" si="1"/>
        <v>127</v>
      </c>
      <c r="M22" s="566">
        <f t="shared" si="2"/>
        <v>0</v>
      </c>
      <c r="N22" s="5"/>
    </row>
    <row r="23" spans="1:14" s="15" customFormat="1" ht="15">
      <c r="A23" s="179">
        <v>12</v>
      </c>
      <c r="B23" s="557" t="s">
        <v>836</v>
      </c>
      <c r="C23" s="566">
        <v>618</v>
      </c>
      <c r="D23" s="566">
        <v>0</v>
      </c>
      <c r="E23" s="566">
        <v>0</v>
      </c>
      <c r="F23" s="567">
        <v>0</v>
      </c>
      <c r="G23" s="567">
        <f t="shared" si="0"/>
        <v>618</v>
      </c>
      <c r="H23" s="566">
        <v>618</v>
      </c>
      <c r="I23" s="566">
        <v>0</v>
      </c>
      <c r="J23" s="566">
        <v>0</v>
      </c>
      <c r="K23" s="566">
        <v>0</v>
      </c>
      <c r="L23" s="566">
        <f t="shared" si="1"/>
        <v>618</v>
      </c>
      <c r="M23" s="566">
        <f t="shared" si="2"/>
        <v>0</v>
      </c>
      <c r="N23" s="5"/>
    </row>
    <row r="24" spans="1:14" s="15" customFormat="1" ht="15">
      <c r="A24" s="179">
        <v>13</v>
      </c>
      <c r="B24" s="557" t="s">
        <v>837</v>
      </c>
      <c r="C24" s="566">
        <v>787</v>
      </c>
      <c r="D24" s="566">
        <v>2</v>
      </c>
      <c r="E24" s="566">
        <v>0</v>
      </c>
      <c r="F24" s="567">
        <v>0</v>
      </c>
      <c r="G24" s="567">
        <f t="shared" si="0"/>
        <v>789</v>
      </c>
      <c r="H24" s="566">
        <v>787</v>
      </c>
      <c r="I24" s="566">
        <v>2</v>
      </c>
      <c r="J24" s="566">
        <v>0</v>
      </c>
      <c r="K24" s="566">
        <v>0</v>
      </c>
      <c r="L24" s="566">
        <f t="shared" si="1"/>
        <v>789</v>
      </c>
      <c r="M24" s="566">
        <f t="shared" si="2"/>
        <v>0</v>
      </c>
      <c r="N24" s="5"/>
    </row>
    <row r="25" spans="1:14" s="15" customFormat="1" ht="15">
      <c r="A25" s="179">
        <v>14</v>
      </c>
      <c r="B25" s="557" t="s">
        <v>838</v>
      </c>
      <c r="C25" s="566">
        <v>24</v>
      </c>
      <c r="D25" s="566">
        <v>0</v>
      </c>
      <c r="E25" s="566">
        <v>0</v>
      </c>
      <c r="F25" s="567">
        <v>0</v>
      </c>
      <c r="G25" s="567">
        <f t="shared" si="0"/>
        <v>24</v>
      </c>
      <c r="H25" s="566">
        <v>24</v>
      </c>
      <c r="I25" s="566">
        <v>0</v>
      </c>
      <c r="J25" s="566">
        <v>0</v>
      </c>
      <c r="K25" s="566">
        <v>0</v>
      </c>
      <c r="L25" s="566">
        <f t="shared" si="1"/>
        <v>24</v>
      </c>
      <c r="M25" s="566">
        <f t="shared" si="2"/>
        <v>0</v>
      </c>
      <c r="N25" s="5"/>
    </row>
    <row r="26" spans="1:14" s="15" customFormat="1" ht="15">
      <c r="A26" s="179">
        <v>15</v>
      </c>
      <c r="B26" s="557" t="s">
        <v>839</v>
      </c>
      <c r="C26" s="566">
        <v>111</v>
      </c>
      <c r="D26" s="566">
        <v>0</v>
      </c>
      <c r="E26" s="566">
        <v>0</v>
      </c>
      <c r="F26" s="567">
        <v>0</v>
      </c>
      <c r="G26" s="567">
        <f t="shared" si="0"/>
        <v>111</v>
      </c>
      <c r="H26" s="566">
        <v>111</v>
      </c>
      <c r="I26" s="566">
        <v>0</v>
      </c>
      <c r="J26" s="566">
        <v>0</v>
      </c>
      <c r="K26" s="566">
        <v>0</v>
      </c>
      <c r="L26" s="566">
        <f t="shared" si="1"/>
        <v>111</v>
      </c>
      <c r="M26" s="566">
        <f t="shared" si="2"/>
        <v>0</v>
      </c>
      <c r="N26" s="5"/>
    </row>
    <row r="27" spans="1:14" s="15" customFormat="1" ht="15">
      <c r="A27" s="179">
        <v>16</v>
      </c>
      <c r="B27" s="557" t="s">
        <v>840</v>
      </c>
      <c r="C27" s="566">
        <v>85</v>
      </c>
      <c r="D27" s="566">
        <v>0</v>
      </c>
      <c r="E27" s="566">
        <v>0</v>
      </c>
      <c r="F27" s="567">
        <v>0</v>
      </c>
      <c r="G27" s="567">
        <f t="shared" si="0"/>
        <v>85</v>
      </c>
      <c r="H27" s="566">
        <v>85</v>
      </c>
      <c r="I27" s="566">
        <v>0</v>
      </c>
      <c r="J27" s="566">
        <v>0</v>
      </c>
      <c r="K27" s="566">
        <v>0</v>
      </c>
      <c r="L27" s="566">
        <f t="shared" si="1"/>
        <v>85</v>
      </c>
      <c r="M27" s="566">
        <f t="shared" si="2"/>
        <v>0</v>
      </c>
      <c r="N27" s="5"/>
    </row>
    <row r="28" spans="1:14" s="15" customFormat="1" ht="15">
      <c r="A28" s="179">
        <v>17</v>
      </c>
      <c r="B28" s="557" t="s">
        <v>841</v>
      </c>
      <c r="C28" s="566">
        <v>146</v>
      </c>
      <c r="D28" s="566">
        <v>0</v>
      </c>
      <c r="E28" s="566">
        <v>0</v>
      </c>
      <c r="F28" s="567">
        <v>0</v>
      </c>
      <c r="G28" s="567">
        <f t="shared" si="0"/>
        <v>146</v>
      </c>
      <c r="H28" s="566">
        <v>146</v>
      </c>
      <c r="I28" s="566">
        <v>0</v>
      </c>
      <c r="J28" s="566">
        <v>0</v>
      </c>
      <c r="K28" s="566">
        <v>0</v>
      </c>
      <c r="L28" s="566">
        <f t="shared" si="1"/>
        <v>146</v>
      </c>
      <c r="M28" s="566">
        <f t="shared" si="2"/>
        <v>0</v>
      </c>
      <c r="N28" s="5"/>
    </row>
    <row r="29" spans="1:14" s="15" customFormat="1" ht="15">
      <c r="A29" s="179">
        <v>18</v>
      </c>
      <c r="B29" s="557" t="s">
        <v>842</v>
      </c>
      <c r="C29" s="566">
        <v>167</v>
      </c>
      <c r="D29" s="566">
        <v>5</v>
      </c>
      <c r="E29" s="566">
        <v>0</v>
      </c>
      <c r="F29" s="567">
        <v>0</v>
      </c>
      <c r="G29" s="567">
        <f t="shared" si="0"/>
        <v>172</v>
      </c>
      <c r="H29" s="566">
        <v>167</v>
      </c>
      <c r="I29" s="566">
        <v>5</v>
      </c>
      <c r="J29" s="566">
        <v>0</v>
      </c>
      <c r="K29" s="566">
        <v>0</v>
      </c>
      <c r="L29" s="566">
        <f t="shared" si="1"/>
        <v>172</v>
      </c>
      <c r="M29" s="566">
        <f t="shared" si="2"/>
        <v>0</v>
      </c>
      <c r="N29" s="5"/>
    </row>
    <row r="30" spans="1:14" s="15" customFormat="1" ht="15">
      <c r="A30" s="179">
        <v>19</v>
      </c>
      <c r="B30" s="557" t="s">
        <v>843</v>
      </c>
      <c r="C30" s="566">
        <v>43</v>
      </c>
      <c r="D30" s="566">
        <v>0</v>
      </c>
      <c r="E30" s="566">
        <v>0</v>
      </c>
      <c r="F30" s="567">
        <v>0</v>
      </c>
      <c r="G30" s="567">
        <f t="shared" si="0"/>
        <v>43</v>
      </c>
      <c r="H30" s="566">
        <v>43</v>
      </c>
      <c r="I30" s="566">
        <v>0</v>
      </c>
      <c r="J30" s="566">
        <v>0</v>
      </c>
      <c r="K30" s="566">
        <v>0</v>
      </c>
      <c r="L30" s="566">
        <f t="shared" si="1"/>
        <v>43</v>
      </c>
      <c r="M30" s="566">
        <f t="shared" si="2"/>
        <v>0</v>
      </c>
      <c r="N30" s="5"/>
    </row>
    <row r="31" spans="1:14" s="15" customFormat="1" ht="15">
      <c r="A31" s="179">
        <v>20</v>
      </c>
      <c r="B31" s="557" t="s">
        <v>844</v>
      </c>
      <c r="C31" s="566">
        <v>435</v>
      </c>
      <c r="D31" s="566">
        <v>1</v>
      </c>
      <c r="E31" s="566">
        <v>0</v>
      </c>
      <c r="F31" s="567">
        <v>0</v>
      </c>
      <c r="G31" s="567">
        <f t="shared" si="0"/>
        <v>436</v>
      </c>
      <c r="H31" s="566">
        <v>435</v>
      </c>
      <c r="I31" s="566">
        <v>1</v>
      </c>
      <c r="J31" s="566">
        <v>0</v>
      </c>
      <c r="K31" s="566">
        <v>0</v>
      </c>
      <c r="L31" s="566">
        <f t="shared" si="1"/>
        <v>436</v>
      </c>
      <c r="M31" s="566">
        <f t="shared" si="2"/>
        <v>0</v>
      </c>
      <c r="N31" s="5"/>
    </row>
    <row r="32" spans="1:14" s="15" customFormat="1" ht="15">
      <c r="A32" s="179">
        <v>21</v>
      </c>
      <c r="B32" s="557" t="s">
        <v>845</v>
      </c>
      <c r="C32" s="566">
        <v>545</v>
      </c>
      <c r="D32" s="566">
        <v>18</v>
      </c>
      <c r="E32" s="566">
        <v>0</v>
      </c>
      <c r="F32" s="567">
        <v>1</v>
      </c>
      <c r="G32" s="567">
        <f t="shared" si="0"/>
        <v>564</v>
      </c>
      <c r="H32" s="566">
        <v>545</v>
      </c>
      <c r="I32" s="566">
        <v>18</v>
      </c>
      <c r="J32" s="566">
        <v>0</v>
      </c>
      <c r="K32" s="566">
        <v>1</v>
      </c>
      <c r="L32" s="566">
        <f t="shared" si="1"/>
        <v>564</v>
      </c>
      <c r="M32" s="566">
        <f t="shared" si="2"/>
        <v>0</v>
      </c>
      <c r="N32" s="5"/>
    </row>
    <row r="33" spans="1:14" s="15" customFormat="1" ht="15">
      <c r="A33" s="179">
        <v>22</v>
      </c>
      <c r="B33" s="557" t="s">
        <v>846</v>
      </c>
      <c r="C33" s="566">
        <v>70</v>
      </c>
      <c r="D33" s="566">
        <v>1</v>
      </c>
      <c r="E33" s="566">
        <v>0</v>
      </c>
      <c r="F33" s="567">
        <v>0</v>
      </c>
      <c r="G33" s="567">
        <f t="shared" si="0"/>
        <v>71</v>
      </c>
      <c r="H33" s="566">
        <v>70</v>
      </c>
      <c r="I33" s="566">
        <v>1</v>
      </c>
      <c r="J33" s="566">
        <v>0</v>
      </c>
      <c r="K33" s="566">
        <v>0</v>
      </c>
      <c r="L33" s="566">
        <f t="shared" si="1"/>
        <v>71</v>
      </c>
      <c r="M33" s="566">
        <f t="shared" si="2"/>
        <v>0</v>
      </c>
      <c r="N33" s="5"/>
    </row>
    <row r="34" spans="1:14" s="15" customFormat="1" ht="15">
      <c r="A34" s="179">
        <v>23</v>
      </c>
      <c r="B34" s="557" t="s">
        <v>847</v>
      </c>
      <c r="C34" s="566">
        <v>643</v>
      </c>
      <c r="D34" s="566">
        <v>0</v>
      </c>
      <c r="E34" s="566">
        <v>0</v>
      </c>
      <c r="F34" s="567">
        <v>0</v>
      </c>
      <c r="G34" s="567">
        <f t="shared" si="0"/>
        <v>643</v>
      </c>
      <c r="H34" s="566">
        <v>643</v>
      </c>
      <c r="I34" s="566">
        <v>0</v>
      </c>
      <c r="J34" s="566">
        <v>0</v>
      </c>
      <c r="K34" s="566">
        <v>0</v>
      </c>
      <c r="L34" s="566">
        <f t="shared" si="1"/>
        <v>643</v>
      </c>
      <c r="M34" s="566">
        <f t="shared" si="2"/>
        <v>0</v>
      </c>
      <c r="N34" s="5"/>
    </row>
    <row r="35" spans="1:14" s="15" customFormat="1" ht="15">
      <c r="A35" s="179">
        <v>24</v>
      </c>
      <c r="B35" s="557" t="s">
        <v>848</v>
      </c>
      <c r="C35" s="566">
        <v>534</v>
      </c>
      <c r="D35" s="566">
        <v>0</v>
      </c>
      <c r="E35" s="566">
        <v>0</v>
      </c>
      <c r="F35" s="567">
        <v>0</v>
      </c>
      <c r="G35" s="567">
        <f t="shared" si="0"/>
        <v>534</v>
      </c>
      <c r="H35" s="566">
        <v>534</v>
      </c>
      <c r="I35" s="566">
        <v>0</v>
      </c>
      <c r="J35" s="566">
        <v>0</v>
      </c>
      <c r="K35" s="566">
        <v>0</v>
      </c>
      <c r="L35" s="566">
        <f t="shared" si="1"/>
        <v>534</v>
      </c>
      <c r="M35" s="566">
        <f t="shared" si="2"/>
        <v>0</v>
      </c>
      <c r="N35" s="5"/>
    </row>
    <row r="36" spans="1:14" s="15" customFormat="1" ht="15.6" customHeight="1">
      <c r="A36" s="179">
        <v>25</v>
      </c>
      <c r="B36" s="557" t="s">
        <v>849</v>
      </c>
      <c r="C36" s="566">
        <v>269</v>
      </c>
      <c r="D36" s="566">
        <v>2</v>
      </c>
      <c r="E36" s="566">
        <v>0</v>
      </c>
      <c r="F36" s="567">
        <v>0</v>
      </c>
      <c r="G36" s="567">
        <f t="shared" si="0"/>
        <v>271</v>
      </c>
      <c r="H36" s="566">
        <v>269</v>
      </c>
      <c r="I36" s="566">
        <v>2</v>
      </c>
      <c r="J36" s="566">
        <v>0</v>
      </c>
      <c r="K36" s="566">
        <v>0</v>
      </c>
      <c r="L36" s="566">
        <f t="shared" si="1"/>
        <v>271</v>
      </c>
      <c r="M36" s="566">
        <f t="shared" si="2"/>
        <v>0</v>
      </c>
      <c r="N36" s="5"/>
    </row>
    <row r="37" spans="1:14" s="15" customFormat="1" ht="15.6" customHeight="1">
      <c r="A37" s="179">
        <v>26</v>
      </c>
      <c r="B37" s="557" t="s">
        <v>850</v>
      </c>
      <c r="C37" s="566">
        <v>485</v>
      </c>
      <c r="D37" s="566">
        <v>2</v>
      </c>
      <c r="E37" s="566">
        <v>0</v>
      </c>
      <c r="F37" s="567">
        <v>0</v>
      </c>
      <c r="G37" s="567">
        <f t="shared" si="0"/>
        <v>487</v>
      </c>
      <c r="H37" s="566">
        <v>485</v>
      </c>
      <c r="I37" s="566">
        <v>2</v>
      </c>
      <c r="J37" s="566">
        <v>0</v>
      </c>
      <c r="K37" s="566">
        <v>0</v>
      </c>
      <c r="L37" s="566">
        <f t="shared" si="1"/>
        <v>487</v>
      </c>
      <c r="M37" s="566">
        <f t="shared" si="2"/>
        <v>0</v>
      </c>
      <c r="N37" s="5"/>
    </row>
    <row r="38" spans="1:14" s="15" customFormat="1" ht="15.75" customHeight="1">
      <c r="A38" s="179">
        <v>27</v>
      </c>
      <c r="B38" s="562" t="s">
        <v>851</v>
      </c>
      <c r="C38" s="566">
        <v>552</v>
      </c>
      <c r="D38" s="566">
        <v>0</v>
      </c>
      <c r="E38" s="566">
        <v>0</v>
      </c>
      <c r="F38" s="567">
        <v>0</v>
      </c>
      <c r="G38" s="567">
        <f t="shared" si="0"/>
        <v>552</v>
      </c>
      <c r="H38" s="566">
        <v>552</v>
      </c>
      <c r="I38" s="566">
        <v>0</v>
      </c>
      <c r="J38" s="566">
        <v>0</v>
      </c>
      <c r="K38" s="566">
        <v>0</v>
      </c>
      <c r="L38" s="566">
        <f t="shared" si="1"/>
        <v>552</v>
      </c>
      <c r="M38" s="566">
        <f t="shared" si="2"/>
        <v>0</v>
      </c>
      <c r="N38" s="5"/>
    </row>
    <row r="39" spans="1:14" s="15" customFormat="1" ht="15">
      <c r="A39" s="179">
        <v>28</v>
      </c>
      <c r="B39" s="563" t="s">
        <v>852</v>
      </c>
      <c r="C39" s="566">
        <v>17</v>
      </c>
      <c r="D39" s="566">
        <v>0</v>
      </c>
      <c r="E39" s="566">
        <v>0</v>
      </c>
      <c r="F39" s="567">
        <v>0</v>
      </c>
      <c r="G39" s="567">
        <f t="shared" si="0"/>
        <v>17</v>
      </c>
      <c r="H39" s="566">
        <v>17</v>
      </c>
      <c r="I39" s="566">
        <v>0</v>
      </c>
      <c r="J39" s="566">
        <v>0</v>
      </c>
      <c r="K39" s="566">
        <v>0</v>
      </c>
      <c r="L39" s="566">
        <f t="shared" si="1"/>
        <v>17</v>
      </c>
      <c r="M39" s="566">
        <f t="shared" si="2"/>
        <v>0</v>
      </c>
      <c r="N39" s="5"/>
    </row>
    <row r="40" spans="1:14" s="15" customFormat="1" ht="15">
      <c r="A40" s="179">
        <v>29</v>
      </c>
      <c r="B40" s="563" t="s">
        <v>1041</v>
      </c>
      <c r="C40" s="566">
        <v>819</v>
      </c>
      <c r="D40" s="566">
        <v>0</v>
      </c>
      <c r="E40" s="566">
        <v>0</v>
      </c>
      <c r="F40" s="567">
        <v>0</v>
      </c>
      <c r="G40" s="567">
        <f t="shared" si="0"/>
        <v>819</v>
      </c>
      <c r="H40" s="566">
        <v>819</v>
      </c>
      <c r="I40" s="566">
        <v>0</v>
      </c>
      <c r="J40" s="566">
        <v>0</v>
      </c>
      <c r="K40" s="566">
        <v>0</v>
      </c>
      <c r="L40" s="566">
        <f t="shared" si="1"/>
        <v>819</v>
      </c>
      <c r="M40" s="566">
        <f t="shared" si="2"/>
        <v>0</v>
      </c>
      <c r="N40" s="5"/>
    </row>
    <row r="41" spans="1:14" s="15" customFormat="1" ht="24">
      <c r="A41" s="179">
        <v>30</v>
      </c>
      <c r="B41" s="563" t="s">
        <v>1042</v>
      </c>
      <c r="C41" s="566">
        <v>108</v>
      </c>
      <c r="D41" s="566">
        <v>0</v>
      </c>
      <c r="E41" s="566">
        <v>0</v>
      </c>
      <c r="F41" s="567">
        <v>0</v>
      </c>
      <c r="G41" s="567">
        <f t="shared" si="0"/>
        <v>108</v>
      </c>
      <c r="H41" s="566">
        <v>108</v>
      </c>
      <c r="I41" s="566">
        <v>0</v>
      </c>
      <c r="J41" s="566">
        <v>0</v>
      </c>
      <c r="K41" s="566">
        <v>0</v>
      </c>
      <c r="L41" s="566">
        <f t="shared" si="1"/>
        <v>108</v>
      </c>
      <c r="M41" s="566">
        <f t="shared" si="2"/>
        <v>0</v>
      </c>
      <c r="N41" s="5"/>
    </row>
    <row r="42" spans="1:14" s="15" customFormat="1" ht="15">
      <c r="A42" s="179">
        <v>31</v>
      </c>
      <c r="B42" s="563" t="s">
        <v>1043</v>
      </c>
      <c r="C42" s="566">
        <v>59</v>
      </c>
      <c r="D42" s="566">
        <v>0</v>
      </c>
      <c r="E42" s="566">
        <v>0</v>
      </c>
      <c r="F42" s="567">
        <v>0</v>
      </c>
      <c r="G42" s="567">
        <f t="shared" si="0"/>
        <v>59</v>
      </c>
      <c r="H42" s="566">
        <v>59</v>
      </c>
      <c r="I42" s="566">
        <v>0</v>
      </c>
      <c r="J42" s="566">
        <v>0</v>
      </c>
      <c r="K42" s="566">
        <v>0</v>
      </c>
      <c r="L42" s="566">
        <f t="shared" si="1"/>
        <v>59</v>
      </c>
      <c r="M42" s="566">
        <f t="shared" si="2"/>
        <v>0</v>
      </c>
      <c r="N42" s="5"/>
    </row>
    <row r="43" spans="1:14" s="15" customFormat="1" ht="15">
      <c r="A43" s="179">
        <v>32</v>
      </c>
      <c r="B43" s="563" t="s">
        <v>1044</v>
      </c>
      <c r="C43" s="566">
        <v>697</v>
      </c>
      <c r="D43" s="566">
        <v>0</v>
      </c>
      <c r="E43" s="566">
        <v>0</v>
      </c>
      <c r="F43" s="567">
        <v>0</v>
      </c>
      <c r="G43" s="567">
        <f t="shared" si="0"/>
        <v>697</v>
      </c>
      <c r="H43" s="566">
        <v>697</v>
      </c>
      <c r="I43" s="566">
        <v>0</v>
      </c>
      <c r="J43" s="566">
        <v>0</v>
      </c>
      <c r="K43" s="566">
        <v>0</v>
      </c>
      <c r="L43" s="566">
        <f t="shared" si="1"/>
        <v>697</v>
      </c>
      <c r="M43" s="566">
        <f t="shared" si="2"/>
        <v>0</v>
      </c>
      <c r="N43" s="5"/>
    </row>
    <row r="44" spans="1:14" ht="15">
      <c r="A44" s="179">
        <v>33</v>
      </c>
      <c r="B44" s="563" t="s">
        <v>857</v>
      </c>
      <c r="C44" s="568">
        <v>27</v>
      </c>
      <c r="D44" s="568">
        <v>0</v>
      </c>
      <c r="E44" s="568">
        <v>0</v>
      </c>
      <c r="F44" s="569">
        <v>0</v>
      </c>
      <c r="G44" s="567">
        <f t="shared" si="0"/>
        <v>27</v>
      </c>
      <c r="H44" s="568">
        <v>27</v>
      </c>
      <c r="I44" s="568">
        <v>0</v>
      </c>
      <c r="J44" s="568">
        <v>0</v>
      </c>
      <c r="K44" s="568">
        <v>0</v>
      </c>
      <c r="L44" s="566">
        <f t="shared" si="1"/>
        <v>27</v>
      </c>
      <c r="M44" s="566">
        <f t="shared" si="2"/>
        <v>0</v>
      </c>
      <c r="N44" s="9"/>
    </row>
    <row r="45" spans="1:14">
      <c r="A45" s="3" t="s">
        <v>18</v>
      </c>
      <c r="B45" s="9"/>
      <c r="C45" s="29">
        <f>SUM(C12:C44)</f>
        <v>11106</v>
      </c>
      <c r="D45" s="29">
        <f t="shared" ref="D45:L45" si="3">SUM(D12:D44)</f>
        <v>58</v>
      </c>
      <c r="E45" s="29">
        <f t="shared" si="3"/>
        <v>255</v>
      </c>
      <c r="F45" s="29">
        <f t="shared" si="3"/>
        <v>1</v>
      </c>
      <c r="G45" s="29">
        <f t="shared" si="3"/>
        <v>11420</v>
      </c>
      <c r="H45" s="29">
        <f t="shared" si="3"/>
        <v>11106</v>
      </c>
      <c r="I45" s="29">
        <f t="shared" si="3"/>
        <v>58</v>
      </c>
      <c r="J45" s="29">
        <f t="shared" si="3"/>
        <v>255</v>
      </c>
      <c r="K45" s="29">
        <f t="shared" si="3"/>
        <v>1</v>
      </c>
      <c r="L45" s="29">
        <f t="shared" si="3"/>
        <v>11420</v>
      </c>
      <c r="M45" s="566">
        <f>G45-L45</f>
        <v>0</v>
      </c>
      <c r="N45" s="9"/>
    </row>
    <row r="46" spans="1:14">
      <c r="A46" s="12"/>
      <c r="B46" s="13"/>
      <c r="C46" s="13"/>
      <c r="D46" s="13"/>
      <c r="E46" s="13"/>
      <c r="F46" s="13"/>
      <c r="G46" s="13"/>
      <c r="H46" s="13"/>
      <c r="I46" s="13"/>
      <c r="J46" s="13"/>
      <c r="K46" s="13"/>
      <c r="L46" s="13"/>
      <c r="M46" s="13"/>
    </row>
    <row r="47" spans="1:14">
      <c r="A47" s="11" t="s">
        <v>8</v>
      </c>
    </row>
    <row r="48" spans="1:14">
      <c r="A48" t="s">
        <v>9</v>
      </c>
    </row>
    <row r="49" spans="1:17">
      <c r="A49" t="s">
        <v>10</v>
      </c>
      <c r="J49" s="12" t="s">
        <v>11</v>
      </c>
      <c r="K49" s="12"/>
      <c r="L49" s="12" t="s">
        <v>11</v>
      </c>
    </row>
    <row r="50" spans="1:17">
      <c r="A50" s="16" t="s">
        <v>429</v>
      </c>
      <c r="J50" s="12"/>
      <c r="K50" s="12"/>
      <c r="L50" s="12"/>
    </row>
    <row r="51" spans="1:17">
      <c r="C51" s="16" t="s">
        <v>430</v>
      </c>
      <c r="E51" s="13"/>
      <c r="F51" s="13"/>
      <c r="G51" s="13"/>
      <c r="H51" s="13"/>
      <c r="I51" s="13"/>
      <c r="J51" s="13"/>
      <c r="K51" s="13"/>
      <c r="L51" s="13"/>
      <c r="M51" s="13"/>
    </row>
    <row r="52" spans="1:17">
      <c r="C52" s="16"/>
      <c r="E52" s="13"/>
      <c r="F52" s="13"/>
      <c r="G52" s="13"/>
      <c r="H52" s="13"/>
      <c r="I52" s="13"/>
      <c r="J52" s="13"/>
      <c r="K52" s="13"/>
      <c r="L52" s="13"/>
      <c r="M52" s="13"/>
    </row>
    <row r="53" spans="1:17" s="991" customFormat="1">
      <c r="A53" s="15" t="s">
        <v>12</v>
      </c>
      <c r="B53" s="15"/>
      <c r="C53" s="15"/>
      <c r="D53" s="15"/>
      <c r="E53" s="15"/>
      <c r="F53" s="15"/>
      <c r="G53" s="15"/>
      <c r="I53" s="15"/>
      <c r="O53" s="990"/>
      <c r="P53" s="990"/>
      <c r="Q53" s="990"/>
    </row>
    <row r="54" spans="1:17" ht="15.6" customHeight="1">
      <c r="B54" s="989"/>
      <c r="C54" s="989"/>
      <c r="D54" s="989"/>
      <c r="E54" s="989"/>
      <c r="F54" s="989"/>
      <c r="G54" s="989"/>
      <c r="H54" s="989"/>
      <c r="I54" s="989"/>
      <c r="J54" s="989"/>
      <c r="N54" s="989"/>
    </row>
    <row r="55" spans="1:17" ht="15.6" customHeight="1">
      <c r="B55" s="989"/>
      <c r="C55" s="989"/>
      <c r="D55" s="989"/>
      <c r="E55" s="989"/>
      <c r="H55" s="997"/>
      <c r="J55" s="989"/>
      <c r="L55" s="1040" t="s">
        <v>1106</v>
      </c>
      <c r="M55" s="1040"/>
      <c r="N55" s="1040"/>
    </row>
    <row r="56" spans="1:17" ht="15.6" customHeight="1">
      <c r="A56" s="989" t="s">
        <v>1105</v>
      </c>
      <c r="B56" s="989"/>
      <c r="C56" s="989"/>
      <c r="D56" s="989"/>
      <c r="E56" s="989"/>
      <c r="H56" s="997"/>
      <c r="J56" s="989"/>
      <c r="L56" s="1040" t="s">
        <v>481</v>
      </c>
      <c r="M56" s="1040"/>
      <c r="N56" s="1040"/>
    </row>
    <row r="57" spans="1:17" ht="15.6" customHeight="1">
      <c r="A57" s="246"/>
      <c r="B57" s="246"/>
      <c r="C57" s="246"/>
      <c r="D57" s="246"/>
      <c r="E57" s="246"/>
      <c r="H57" s="997"/>
      <c r="J57" s="246"/>
      <c r="K57" s="246"/>
      <c r="L57" s="1040" t="s">
        <v>1107</v>
      </c>
      <c r="M57" s="1040"/>
      <c r="N57" s="1040"/>
      <c r="O57" s="246"/>
    </row>
  </sheetData>
  <mergeCells count="16">
    <mergeCell ref="D1:I1"/>
    <mergeCell ref="A5:M5"/>
    <mergeCell ref="A3:M3"/>
    <mergeCell ref="A2:M2"/>
    <mergeCell ref="L1:M1"/>
    <mergeCell ref="L55:N55"/>
    <mergeCell ref="L56:N56"/>
    <mergeCell ref="L57:N57"/>
    <mergeCell ref="L7:N7"/>
    <mergeCell ref="A7:B7"/>
    <mergeCell ref="M9:M10"/>
    <mergeCell ref="B9:B10"/>
    <mergeCell ref="A9:A10"/>
    <mergeCell ref="H9:L9"/>
    <mergeCell ref="C9:G9"/>
    <mergeCell ref="N9:N10"/>
  </mergeCells>
  <phoneticPr fontId="0" type="noConversion"/>
  <printOptions horizontalCentered="1"/>
  <pageMargins left="0.70866141732283472" right="0.70866141732283472" top="0.63" bottom="0" header="0.79" footer="0.31496062992125984"/>
  <pageSetup paperSize="9" scale="8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S58"/>
  <sheetViews>
    <sheetView topLeftCell="A47" zoomScaleSheetLayoutView="90" workbookViewId="0">
      <selection activeCell="E13" sqref="E13"/>
    </sheetView>
  </sheetViews>
  <sheetFormatPr defaultRowHeight="12.75"/>
  <cols>
    <col min="1" max="1" width="7.42578125" customWidth="1"/>
    <col min="2" max="2" width="16.42578125" customWidth="1"/>
    <col min="3" max="3" width="9.7109375" customWidth="1"/>
    <col min="5" max="5" width="9.42578125" customWidth="1"/>
    <col min="6" max="6" width="7.42578125" customWidth="1"/>
    <col min="7" max="7" width="8.42578125" customWidth="1"/>
    <col min="8" max="8" width="10.42578125" customWidth="1"/>
    <col min="9" max="9" width="9.7109375" customWidth="1"/>
    <col min="12" max="12" width="7.42578125" customWidth="1"/>
    <col min="13" max="13" width="12.28515625" customWidth="1"/>
    <col min="14" max="14" width="15.7109375" customWidth="1"/>
  </cols>
  <sheetData>
    <row r="1" spans="1:19" ht="12.75" customHeight="1">
      <c r="D1" s="1114"/>
      <c r="E1" s="1114"/>
      <c r="F1" s="1114"/>
      <c r="G1" s="1114"/>
      <c r="H1" s="1114"/>
      <c r="I1" s="1114"/>
      <c r="J1" s="1114"/>
      <c r="K1" s="1"/>
      <c r="M1" s="97" t="s">
        <v>88</v>
      </c>
    </row>
    <row r="2" spans="1:19" ht="15">
      <c r="A2" s="1190" t="s">
        <v>0</v>
      </c>
      <c r="B2" s="1190"/>
      <c r="C2" s="1190"/>
      <c r="D2" s="1190"/>
      <c r="E2" s="1190"/>
      <c r="F2" s="1190"/>
      <c r="G2" s="1190"/>
      <c r="H2" s="1190"/>
      <c r="I2" s="1190"/>
      <c r="J2" s="1190"/>
      <c r="K2" s="1190"/>
      <c r="L2" s="1190"/>
      <c r="M2" s="1190"/>
      <c r="N2" s="1190"/>
    </row>
    <row r="3" spans="1:19" ht="20.25">
      <c r="A3" s="1112" t="s">
        <v>636</v>
      </c>
      <c r="B3" s="1112"/>
      <c r="C3" s="1112"/>
      <c r="D3" s="1112"/>
      <c r="E3" s="1112"/>
      <c r="F3" s="1112"/>
      <c r="G3" s="1112"/>
      <c r="H3" s="1112"/>
      <c r="I3" s="1112"/>
      <c r="J3" s="1112"/>
      <c r="K3" s="1112"/>
      <c r="L3" s="1112"/>
      <c r="M3" s="1112"/>
      <c r="N3" s="1112"/>
    </row>
    <row r="4" spans="1:19" ht="11.25" customHeight="1"/>
    <row r="5" spans="1:19" ht="15.75">
      <c r="A5" s="1113" t="s">
        <v>642</v>
      </c>
      <c r="B5" s="1113"/>
      <c r="C5" s="1113"/>
      <c r="D5" s="1113"/>
      <c r="E5" s="1113"/>
      <c r="F5" s="1113"/>
      <c r="G5" s="1113"/>
      <c r="H5" s="1113"/>
      <c r="I5" s="1113"/>
      <c r="J5" s="1113"/>
      <c r="K5" s="1113"/>
      <c r="L5" s="1113"/>
      <c r="M5" s="1113"/>
      <c r="N5" s="1113"/>
    </row>
    <row r="7" spans="1:19">
      <c r="A7" s="1092" t="s">
        <v>1045</v>
      </c>
      <c r="B7" s="1092"/>
      <c r="L7" s="1180" t="s">
        <v>792</v>
      </c>
      <c r="M7" s="1180"/>
      <c r="N7" s="1180"/>
    </row>
    <row r="8" spans="1:19" ht="15.75" customHeight="1">
      <c r="A8" s="1181" t="s">
        <v>2</v>
      </c>
      <c r="B8" s="1181" t="s">
        <v>3</v>
      </c>
      <c r="C8" s="1066" t="s">
        <v>4</v>
      </c>
      <c r="D8" s="1066"/>
      <c r="E8" s="1066"/>
      <c r="F8" s="1066"/>
      <c r="G8" s="1066"/>
      <c r="H8" s="1066" t="s">
        <v>101</v>
      </c>
      <c r="I8" s="1066"/>
      <c r="J8" s="1066"/>
      <c r="K8" s="1066"/>
      <c r="L8" s="1066"/>
      <c r="M8" s="1181" t="s">
        <v>134</v>
      </c>
      <c r="N8" s="1083" t="s">
        <v>135</v>
      </c>
    </row>
    <row r="9" spans="1:19" ht="51">
      <c r="A9" s="1182"/>
      <c r="B9" s="1182"/>
      <c r="C9" s="5" t="s">
        <v>5</v>
      </c>
      <c r="D9" s="5" t="s">
        <v>6</v>
      </c>
      <c r="E9" s="5" t="s">
        <v>356</v>
      </c>
      <c r="F9" s="5" t="s">
        <v>99</v>
      </c>
      <c r="G9" s="5" t="s">
        <v>210</v>
      </c>
      <c r="H9" s="5" t="s">
        <v>5</v>
      </c>
      <c r="I9" s="5" t="s">
        <v>6</v>
      </c>
      <c r="J9" s="5" t="s">
        <v>356</v>
      </c>
      <c r="K9" s="5" t="s">
        <v>99</v>
      </c>
      <c r="L9" s="5" t="s">
        <v>209</v>
      </c>
      <c r="M9" s="1182"/>
      <c r="N9" s="1083"/>
      <c r="R9" s="13"/>
      <c r="S9" s="13"/>
    </row>
    <row r="10" spans="1:19" s="15" customFormat="1">
      <c r="A10" s="5">
        <v>1</v>
      </c>
      <c r="B10" s="5">
        <v>2</v>
      </c>
      <c r="C10" s="5">
        <v>3</v>
      </c>
      <c r="D10" s="5">
        <v>4</v>
      </c>
      <c r="E10" s="5">
        <v>5</v>
      </c>
      <c r="F10" s="5">
        <v>6</v>
      </c>
      <c r="G10" s="5">
        <v>7</v>
      </c>
      <c r="H10" s="5">
        <v>8</v>
      </c>
      <c r="I10" s="5">
        <v>9</v>
      </c>
      <c r="J10" s="5">
        <v>10</v>
      </c>
      <c r="K10" s="5">
        <v>11</v>
      </c>
      <c r="L10" s="5">
        <v>12</v>
      </c>
      <c r="M10" s="5">
        <v>13</v>
      </c>
      <c r="N10" s="5">
        <v>14</v>
      </c>
    </row>
    <row r="11" spans="1:19" ht="15">
      <c r="A11" s="179">
        <v>1</v>
      </c>
      <c r="B11" s="557" t="s">
        <v>825</v>
      </c>
      <c r="C11" s="570">
        <v>513</v>
      </c>
      <c r="D11" s="570">
        <v>24</v>
      </c>
      <c r="E11" s="570">
        <v>51</v>
      </c>
      <c r="F11" s="570">
        <v>0</v>
      </c>
      <c r="G11" s="570">
        <f>C11+D11+E11+F11</f>
        <v>588</v>
      </c>
      <c r="H11" s="570">
        <v>513</v>
      </c>
      <c r="I11" s="570">
        <v>24</v>
      </c>
      <c r="J11" s="570">
        <v>51</v>
      </c>
      <c r="K11" s="570">
        <v>0</v>
      </c>
      <c r="L11" s="570">
        <f>H11+I11+J11+K11</f>
        <v>588</v>
      </c>
      <c r="M11" s="9">
        <f>G11-L11</f>
        <v>0</v>
      </c>
      <c r="N11" s="9"/>
    </row>
    <row r="12" spans="1:19" ht="15">
      <c r="A12" s="179">
        <v>2</v>
      </c>
      <c r="B12" s="557" t="s">
        <v>826</v>
      </c>
      <c r="C12" s="570">
        <v>712</v>
      </c>
      <c r="D12" s="570">
        <v>27</v>
      </c>
      <c r="E12" s="570">
        <v>23</v>
      </c>
      <c r="F12" s="570">
        <v>0</v>
      </c>
      <c r="G12" s="570">
        <f t="shared" ref="G12:G43" si="0">C12+D12+E12+F12</f>
        <v>762</v>
      </c>
      <c r="H12" s="570">
        <v>712</v>
      </c>
      <c r="I12" s="570">
        <v>27</v>
      </c>
      <c r="J12" s="570">
        <v>23</v>
      </c>
      <c r="K12" s="570">
        <v>0</v>
      </c>
      <c r="L12" s="570">
        <f t="shared" ref="L12:L43" si="1">H12+I12+J12+K12</f>
        <v>762</v>
      </c>
      <c r="M12" s="9">
        <f t="shared" ref="M12:M43" si="2">G12-L12</f>
        <v>0</v>
      </c>
      <c r="N12" s="9"/>
    </row>
    <row r="13" spans="1:19" ht="15">
      <c r="A13" s="179">
        <v>3</v>
      </c>
      <c r="B13" s="557" t="s">
        <v>827</v>
      </c>
      <c r="C13" s="570">
        <v>813</v>
      </c>
      <c r="D13" s="570">
        <v>52</v>
      </c>
      <c r="E13" s="570">
        <v>17</v>
      </c>
      <c r="F13" s="570">
        <v>0</v>
      </c>
      <c r="G13" s="570">
        <f t="shared" si="0"/>
        <v>882</v>
      </c>
      <c r="H13" s="570">
        <v>813</v>
      </c>
      <c r="I13" s="570">
        <v>52</v>
      </c>
      <c r="J13" s="570">
        <v>17</v>
      </c>
      <c r="K13" s="570">
        <v>0</v>
      </c>
      <c r="L13" s="570">
        <f t="shared" si="1"/>
        <v>882</v>
      </c>
      <c r="M13" s="9">
        <f t="shared" si="2"/>
        <v>0</v>
      </c>
      <c r="N13" s="9"/>
    </row>
    <row r="14" spans="1:19" ht="15">
      <c r="A14" s="179">
        <v>4</v>
      </c>
      <c r="B14" s="557" t="s">
        <v>828</v>
      </c>
      <c r="C14" s="570">
        <v>710</v>
      </c>
      <c r="D14" s="570">
        <v>11</v>
      </c>
      <c r="E14" s="570">
        <v>11</v>
      </c>
      <c r="F14" s="570">
        <v>0</v>
      </c>
      <c r="G14" s="570">
        <f t="shared" si="0"/>
        <v>732</v>
      </c>
      <c r="H14" s="570">
        <v>710</v>
      </c>
      <c r="I14" s="570">
        <v>11</v>
      </c>
      <c r="J14" s="570">
        <v>11</v>
      </c>
      <c r="K14" s="570">
        <v>0</v>
      </c>
      <c r="L14" s="570">
        <f t="shared" si="1"/>
        <v>732</v>
      </c>
      <c r="M14" s="9">
        <f t="shared" si="2"/>
        <v>0</v>
      </c>
      <c r="N14" s="9"/>
    </row>
    <row r="15" spans="1:19" ht="15">
      <c r="A15" s="179">
        <v>5</v>
      </c>
      <c r="B15" s="557" t="s">
        <v>829</v>
      </c>
      <c r="C15" s="570">
        <v>1113</v>
      </c>
      <c r="D15" s="570">
        <v>19</v>
      </c>
      <c r="E15" s="570">
        <v>164</v>
      </c>
      <c r="F15" s="570">
        <v>0</v>
      </c>
      <c r="G15" s="570">
        <f t="shared" si="0"/>
        <v>1296</v>
      </c>
      <c r="H15" s="570">
        <v>1113</v>
      </c>
      <c r="I15" s="570">
        <v>19</v>
      </c>
      <c r="J15" s="570">
        <v>164</v>
      </c>
      <c r="K15" s="570">
        <v>0</v>
      </c>
      <c r="L15" s="570">
        <f t="shared" si="1"/>
        <v>1296</v>
      </c>
      <c r="M15" s="9">
        <f t="shared" si="2"/>
        <v>0</v>
      </c>
      <c r="N15" s="9"/>
      <c r="O15" s="566">
        <v>255</v>
      </c>
    </row>
    <row r="16" spans="1:19" ht="15">
      <c r="A16" s="179">
        <v>6</v>
      </c>
      <c r="B16" s="557" t="s">
        <v>830</v>
      </c>
      <c r="C16" s="570">
        <v>668</v>
      </c>
      <c r="D16" s="570">
        <v>5</v>
      </c>
      <c r="E16" s="570">
        <v>60</v>
      </c>
      <c r="F16" s="570">
        <v>0</v>
      </c>
      <c r="G16" s="570">
        <f t="shared" si="0"/>
        <v>733</v>
      </c>
      <c r="H16" s="570">
        <v>668</v>
      </c>
      <c r="I16" s="570">
        <v>5</v>
      </c>
      <c r="J16" s="570">
        <v>60</v>
      </c>
      <c r="K16" s="570">
        <v>0</v>
      </c>
      <c r="L16" s="570">
        <f t="shared" si="1"/>
        <v>733</v>
      </c>
      <c r="M16" s="9">
        <f t="shared" si="2"/>
        <v>0</v>
      </c>
      <c r="N16" s="9"/>
    </row>
    <row r="17" spans="1:14" ht="15">
      <c r="A17" s="179">
        <v>7</v>
      </c>
      <c r="B17" s="557" t="s">
        <v>831</v>
      </c>
      <c r="C17" s="570">
        <v>440</v>
      </c>
      <c r="D17" s="570">
        <v>1</v>
      </c>
      <c r="E17" s="570">
        <v>9</v>
      </c>
      <c r="F17" s="570">
        <v>0</v>
      </c>
      <c r="G17" s="570">
        <f t="shared" si="0"/>
        <v>450</v>
      </c>
      <c r="H17" s="570">
        <v>440</v>
      </c>
      <c r="I17" s="570">
        <v>1</v>
      </c>
      <c r="J17" s="570">
        <v>9</v>
      </c>
      <c r="K17" s="570">
        <v>0</v>
      </c>
      <c r="L17" s="570">
        <f t="shared" si="1"/>
        <v>450</v>
      </c>
      <c r="M17" s="9">
        <f t="shared" si="2"/>
        <v>0</v>
      </c>
      <c r="N17" s="9"/>
    </row>
    <row r="18" spans="1:14" ht="15">
      <c r="A18" s="179">
        <v>8</v>
      </c>
      <c r="B18" s="557" t="s">
        <v>832</v>
      </c>
      <c r="C18" s="570">
        <v>733</v>
      </c>
      <c r="D18" s="570">
        <v>0</v>
      </c>
      <c r="E18" s="570">
        <v>53</v>
      </c>
      <c r="F18" s="570">
        <v>0</v>
      </c>
      <c r="G18" s="570">
        <f t="shared" si="0"/>
        <v>786</v>
      </c>
      <c r="H18" s="570">
        <v>733</v>
      </c>
      <c r="I18" s="570">
        <v>0</v>
      </c>
      <c r="J18" s="570">
        <v>53</v>
      </c>
      <c r="K18" s="570">
        <v>0</v>
      </c>
      <c r="L18" s="570">
        <f t="shared" si="1"/>
        <v>786</v>
      </c>
      <c r="M18" s="9">
        <f t="shared" si="2"/>
        <v>0</v>
      </c>
      <c r="N18" s="9"/>
    </row>
    <row r="19" spans="1:14" ht="15">
      <c r="A19" s="179">
        <v>9</v>
      </c>
      <c r="B19" s="557" t="s">
        <v>833</v>
      </c>
      <c r="C19" s="570">
        <v>1485</v>
      </c>
      <c r="D19" s="570">
        <v>19</v>
      </c>
      <c r="E19" s="570">
        <v>61</v>
      </c>
      <c r="F19" s="570">
        <v>0</v>
      </c>
      <c r="G19" s="570">
        <f t="shared" si="0"/>
        <v>1565</v>
      </c>
      <c r="H19" s="570">
        <v>1485</v>
      </c>
      <c r="I19" s="570">
        <v>19</v>
      </c>
      <c r="J19" s="570">
        <v>61</v>
      </c>
      <c r="K19" s="570">
        <v>0</v>
      </c>
      <c r="L19" s="570">
        <f t="shared" si="1"/>
        <v>1565</v>
      </c>
      <c r="M19" s="9">
        <f t="shared" si="2"/>
        <v>0</v>
      </c>
      <c r="N19" s="9"/>
    </row>
    <row r="20" spans="1:14" ht="15">
      <c r="A20" s="179">
        <v>10</v>
      </c>
      <c r="B20" s="557" t="s">
        <v>834</v>
      </c>
      <c r="C20" s="570">
        <v>124</v>
      </c>
      <c r="D20" s="570">
        <v>0</v>
      </c>
      <c r="E20" s="570">
        <v>54</v>
      </c>
      <c r="F20" s="570">
        <v>0</v>
      </c>
      <c r="G20" s="570">
        <f t="shared" si="0"/>
        <v>178</v>
      </c>
      <c r="H20" s="570">
        <v>124</v>
      </c>
      <c r="I20" s="570">
        <v>0</v>
      </c>
      <c r="J20" s="570">
        <v>54</v>
      </c>
      <c r="K20" s="570">
        <v>0</v>
      </c>
      <c r="L20" s="570">
        <f t="shared" si="1"/>
        <v>178</v>
      </c>
      <c r="M20" s="9">
        <f t="shared" si="2"/>
        <v>0</v>
      </c>
      <c r="N20" s="9"/>
    </row>
    <row r="21" spans="1:14" ht="15">
      <c r="A21" s="179">
        <v>11</v>
      </c>
      <c r="B21" s="557" t="s">
        <v>835</v>
      </c>
      <c r="C21" s="570">
        <v>471</v>
      </c>
      <c r="D21" s="570">
        <v>0</v>
      </c>
      <c r="E21" s="570">
        <v>31</v>
      </c>
      <c r="F21" s="570">
        <v>0</v>
      </c>
      <c r="G21" s="570">
        <f t="shared" si="0"/>
        <v>502</v>
      </c>
      <c r="H21" s="570">
        <v>471</v>
      </c>
      <c r="I21" s="570">
        <v>0</v>
      </c>
      <c r="J21" s="570">
        <v>31</v>
      </c>
      <c r="K21" s="570">
        <v>0</v>
      </c>
      <c r="L21" s="570">
        <f t="shared" si="1"/>
        <v>502</v>
      </c>
      <c r="M21" s="9">
        <f t="shared" si="2"/>
        <v>0</v>
      </c>
      <c r="N21" s="9"/>
    </row>
    <row r="22" spans="1:14" ht="15">
      <c r="A22" s="179">
        <v>12</v>
      </c>
      <c r="B22" s="557" t="s">
        <v>836</v>
      </c>
      <c r="C22" s="570">
        <v>696</v>
      </c>
      <c r="D22" s="570">
        <v>0</v>
      </c>
      <c r="E22" s="570">
        <v>35</v>
      </c>
      <c r="F22" s="570">
        <v>0</v>
      </c>
      <c r="G22" s="570">
        <f t="shared" si="0"/>
        <v>731</v>
      </c>
      <c r="H22" s="570">
        <v>696</v>
      </c>
      <c r="I22" s="570">
        <v>0</v>
      </c>
      <c r="J22" s="570">
        <v>35</v>
      </c>
      <c r="K22" s="570">
        <v>0</v>
      </c>
      <c r="L22" s="570">
        <f t="shared" si="1"/>
        <v>731</v>
      </c>
      <c r="M22" s="9">
        <f t="shared" si="2"/>
        <v>0</v>
      </c>
      <c r="N22" s="9"/>
    </row>
    <row r="23" spans="1:14" ht="15">
      <c r="A23" s="179">
        <v>13</v>
      </c>
      <c r="B23" s="557" t="s">
        <v>837</v>
      </c>
      <c r="C23" s="570">
        <v>850</v>
      </c>
      <c r="D23" s="570">
        <v>10</v>
      </c>
      <c r="E23" s="570">
        <v>85</v>
      </c>
      <c r="F23" s="570">
        <v>0</v>
      </c>
      <c r="G23" s="570">
        <f t="shared" si="0"/>
        <v>945</v>
      </c>
      <c r="H23" s="570">
        <v>850</v>
      </c>
      <c r="I23" s="570">
        <v>10</v>
      </c>
      <c r="J23" s="570">
        <v>85</v>
      </c>
      <c r="K23" s="570">
        <v>0</v>
      </c>
      <c r="L23" s="570">
        <f t="shared" si="1"/>
        <v>945</v>
      </c>
      <c r="M23" s="9">
        <f t="shared" si="2"/>
        <v>0</v>
      </c>
      <c r="N23" s="9"/>
    </row>
    <row r="24" spans="1:14" ht="15">
      <c r="A24" s="179">
        <v>14</v>
      </c>
      <c r="B24" s="557" t="s">
        <v>838</v>
      </c>
      <c r="C24" s="570">
        <v>730</v>
      </c>
      <c r="D24" s="570">
        <v>8</v>
      </c>
      <c r="E24" s="570">
        <v>32</v>
      </c>
      <c r="F24" s="570">
        <v>0</v>
      </c>
      <c r="G24" s="570">
        <f t="shared" si="0"/>
        <v>770</v>
      </c>
      <c r="H24" s="570">
        <v>730</v>
      </c>
      <c r="I24" s="570">
        <v>8</v>
      </c>
      <c r="J24" s="570">
        <v>32</v>
      </c>
      <c r="K24" s="570">
        <v>0</v>
      </c>
      <c r="L24" s="570">
        <f t="shared" si="1"/>
        <v>770</v>
      </c>
      <c r="M24" s="9">
        <f t="shared" si="2"/>
        <v>0</v>
      </c>
      <c r="N24" s="9"/>
    </row>
    <row r="25" spans="1:14" ht="15">
      <c r="A25" s="179">
        <v>15</v>
      </c>
      <c r="B25" s="557" t="s">
        <v>839</v>
      </c>
      <c r="C25" s="570">
        <v>650</v>
      </c>
      <c r="D25" s="570">
        <v>0</v>
      </c>
      <c r="E25" s="570">
        <v>63</v>
      </c>
      <c r="F25" s="570">
        <v>0</v>
      </c>
      <c r="G25" s="570">
        <f t="shared" si="0"/>
        <v>713</v>
      </c>
      <c r="H25" s="570">
        <v>650</v>
      </c>
      <c r="I25" s="570">
        <v>0</v>
      </c>
      <c r="J25" s="570">
        <v>63</v>
      </c>
      <c r="K25" s="570">
        <v>0</v>
      </c>
      <c r="L25" s="570">
        <f t="shared" si="1"/>
        <v>713</v>
      </c>
      <c r="M25" s="9">
        <f t="shared" si="2"/>
        <v>0</v>
      </c>
      <c r="N25" s="9"/>
    </row>
    <row r="26" spans="1:14" ht="15">
      <c r="A26" s="179">
        <v>16</v>
      </c>
      <c r="B26" s="557" t="s">
        <v>840</v>
      </c>
      <c r="C26" s="570">
        <v>241</v>
      </c>
      <c r="D26" s="570">
        <v>0</v>
      </c>
      <c r="E26" s="570">
        <v>9</v>
      </c>
      <c r="F26" s="570">
        <v>0</v>
      </c>
      <c r="G26" s="570">
        <f t="shared" si="0"/>
        <v>250</v>
      </c>
      <c r="H26" s="570">
        <v>241</v>
      </c>
      <c r="I26" s="570">
        <v>0</v>
      </c>
      <c r="J26" s="570">
        <v>9</v>
      </c>
      <c r="K26" s="570">
        <v>0</v>
      </c>
      <c r="L26" s="570">
        <f t="shared" si="1"/>
        <v>250</v>
      </c>
      <c r="M26" s="9">
        <f t="shared" si="2"/>
        <v>0</v>
      </c>
      <c r="N26" s="9"/>
    </row>
    <row r="27" spans="1:14" ht="15">
      <c r="A27" s="179">
        <v>17</v>
      </c>
      <c r="B27" s="557" t="s">
        <v>841</v>
      </c>
      <c r="C27" s="570">
        <v>906</v>
      </c>
      <c r="D27" s="570">
        <v>0</v>
      </c>
      <c r="E27" s="570">
        <v>50</v>
      </c>
      <c r="F27" s="570">
        <v>0</v>
      </c>
      <c r="G27" s="570">
        <f t="shared" si="0"/>
        <v>956</v>
      </c>
      <c r="H27" s="570">
        <v>906</v>
      </c>
      <c r="I27" s="570">
        <v>0</v>
      </c>
      <c r="J27" s="570">
        <v>50</v>
      </c>
      <c r="K27" s="570">
        <v>0</v>
      </c>
      <c r="L27" s="570">
        <f t="shared" si="1"/>
        <v>956</v>
      </c>
      <c r="M27" s="9">
        <f t="shared" si="2"/>
        <v>0</v>
      </c>
      <c r="N27" s="9"/>
    </row>
    <row r="28" spans="1:14" ht="15">
      <c r="A28" s="179">
        <v>18</v>
      </c>
      <c r="B28" s="557" t="s">
        <v>842</v>
      </c>
      <c r="C28" s="570">
        <v>627</v>
      </c>
      <c r="D28" s="570">
        <v>4</v>
      </c>
      <c r="E28" s="570">
        <v>45</v>
      </c>
      <c r="F28" s="570">
        <v>0</v>
      </c>
      <c r="G28" s="570">
        <f t="shared" si="0"/>
        <v>676</v>
      </c>
      <c r="H28" s="570">
        <v>627</v>
      </c>
      <c r="I28" s="570">
        <v>4</v>
      </c>
      <c r="J28" s="570">
        <v>45</v>
      </c>
      <c r="K28" s="570">
        <v>0</v>
      </c>
      <c r="L28" s="570">
        <f t="shared" si="1"/>
        <v>676</v>
      </c>
      <c r="M28" s="9">
        <f t="shared" si="2"/>
        <v>0</v>
      </c>
      <c r="N28" s="9"/>
    </row>
    <row r="29" spans="1:14" ht="15">
      <c r="A29" s="179">
        <v>19</v>
      </c>
      <c r="B29" s="557" t="s">
        <v>843</v>
      </c>
      <c r="C29" s="570">
        <v>934</v>
      </c>
      <c r="D29" s="570">
        <v>0</v>
      </c>
      <c r="E29" s="570">
        <v>60</v>
      </c>
      <c r="F29" s="570">
        <v>0</v>
      </c>
      <c r="G29" s="570">
        <f t="shared" si="0"/>
        <v>994</v>
      </c>
      <c r="H29" s="570">
        <v>934</v>
      </c>
      <c r="I29" s="570">
        <v>0</v>
      </c>
      <c r="J29" s="570">
        <v>60</v>
      </c>
      <c r="K29" s="570">
        <v>0</v>
      </c>
      <c r="L29" s="570">
        <f t="shared" si="1"/>
        <v>994</v>
      </c>
      <c r="M29" s="9">
        <f t="shared" si="2"/>
        <v>0</v>
      </c>
      <c r="N29" s="9"/>
    </row>
    <row r="30" spans="1:14" ht="15">
      <c r="A30" s="179">
        <v>20</v>
      </c>
      <c r="B30" s="557" t="s">
        <v>844</v>
      </c>
      <c r="C30" s="570">
        <v>766</v>
      </c>
      <c r="D30" s="570">
        <v>3</v>
      </c>
      <c r="E30" s="570">
        <v>73</v>
      </c>
      <c r="F30" s="570">
        <v>0</v>
      </c>
      <c r="G30" s="570">
        <f t="shared" si="0"/>
        <v>842</v>
      </c>
      <c r="H30" s="570">
        <v>766</v>
      </c>
      <c r="I30" s="570">
        <v>3</v>
      </c>
      <c r="J30" s="570">
        <v>73</v>
      </c>
      <c r="K30" s="570">
        <v>0</v>
      </c>
      <c r="L30" s="570">
        <f t="shared" si="1"/>
        <v>842</v>
      </c>
      <c r="M30" s="9">
        <f t="shared" si="2"/>
        <v>0</v>
      </c>
      <c r="N30" s="9"/>
    </row>
    <row r="31" spans="1:14" ht="15">
      <c r="A31" s="179">
        <v>21</v>
      </c>
      <c r="B31" s="557" t="s">
        <v>845</v>
      </c>
      <c r="C31" s="570">
        <v>738</v>
      </c>
      <c r="D31" s="570">
        <v>16</v>
      </c>
      <c r="E31" s="570">
        <v>53</v>
      </c>
      <c r="F31" s="570">
        <v>1</v>
      </c>
      <c r="G31" s="570">
        <f t="shared" si="0"/>
        <v>808</v>
      </c>
      <c r="H31" s="570">
        <v>738</v>
      </c>
      <c r="I31" s="570">
        <v>16</v>
      </c>
      <c r="J31" s="570">
        <v>53</v>
      </c>
      <c r="K31" s="570">
        <v>1</v>
      </c>
      <c r="L31" s="570">
        <f t="shared" si="1"/>
        <v>808</v>
      </c>
      <c r="M31" s="9">
        <f t="shared" si="2"/>
        <v>0</v>
      </c>
      <c r="N31" s="9"/>
    </row>
    <row r="32" spans="1:14" ht="15">
      <c r="A32" s="179">
        <v>22</v>
      </c>
      <c r="B32" s="557" t="s">
        <v>846</v>
      </c>
      <c r="C32" s="570">
        <v>746</v>
      </c>
      <c r="D32" s="570">
        <v>1</v>
      </c>
      <c r="E32" s="570">
        <v>40</v>
      </c>
      <c r="F32" s="570">
        <v>0</v>
      </c>
      <c r="G32" s="570">
        <f t="shared" si="0"/>
        <v>787</v>
      </c>
      <c r="H32" s="570">
        <v>746</v>
      </c>
      <c r="I32" s="570">
        <v>1</v>
      </c>
      <c r="J32" s="570">
        <v>40</v>
      </c>
      <c r="K32" s="570">
        <v>0</v>
      </c>
      <c r="L32" s="570">
        <f t="shared" si="1"/>
        <v>787</v>
      </c>
      <c r="M32" s="9">
        <f t="shared" si="2"/>
        <v>0</v>
      </c>
      <c r="N32" s="9"/>
    </row>
    <row r="33" spans="1:14" ht="15">
      <c r="A33" s="179">
        <v>23</v>
      </c>
      <c r="B33" s="557" t="s">
        <v>847</v>
      </c>
      <c r="C33" s="570">
        <v>503</v>
      </c>
      <c r="D33" s="570">
        <v>46</v>
      </c>
      <c r="E33" s="570">
        <v>34</v>
      </c>
      <c r="F33" s="570">
        <v>0</v>
      </c>
      <c r="G33" s="570">
        <f t="shared" si="0"/>
        <v>583</v>
      </c>
      <c r="H33" s="570">
        <v>503</v>
      </c>
      <c r="I33" s="570">
        <v>46</v>
      </c>
      <c r="J33" s="570">
        <v>34</v>
      </c>
      <c r="K33" s="570">
        <v>0</v>
      </c>
      <c r="L33" s="570">
        <f t="shared" si="1"/>
        <v>583</v>
      </c>
      <c r="M33" s="9">
        <f t="shared" si="2"/>
        <v>0</v>
      </c>
      <c r="N33" s="9"/>
    </row>
    <row r="34" spans="1:14" ht="15">
      <c r="A34" s="179">
        <v>24</v>
      </c>
      <c r="B34" s="557" t="s">
        <v>848</v>
      </c>
      <c r="C34" s="570">
        <v>461</v>
      </c>
      <c r="D34" s="570">
        <v>0</v>
      </c>
      <c r="E34" s="570">
        <v>12</v>
      </c>
      <c r="F34" s="570">
        <v>0</v>
      </c>
      <c r="G34" s="570">
        <f t="shared" si="0"/>
        <v>473</v>
      </c>
      <c r="H34" s="570">
        <v>461</v>
      </c>
      <c r="I34" s="570">
        <v>0</v>
      </c>
      <c r="J34" s="570">
        <v>12</v>
      </c>
      <c r="K34" s="570">
        <v>0</v>
      </c>
      <c r="L34" s="570">
        <f t="shared" si="1"/>
        <v>473</v>
      </c>
      <c r="M34" s="9">
        <f t="shared" si="2"/>
        <v>0</v>
      </c>
      <c r="N34" s="9"/>
    </row>
    <row r="35" spans="1:14" ht="15">
      <c r="A35" s="179">
        <v>25</v>
      </c>
      <c r="B35" s="557" t="s">
        <v>849</v>
      </c>
      <c r="C35" s="570">
        <v>477</v>
      </c>
      <c r="D35" s="570">
        <v>2</v>
      </c>
      <c r="E35" s="570">
        <v>21</v>
      </c>
      <c r="F35" s="570">
        <v>0</v>
      </c>
      <c r="G35" s="570">
        <f t="shared" si="0"/>
        <v>500</v>
      </c>
      <c r="H35" s="570">
        <v>477</v>
      </c>
      <c r="I35" s="570">
        <v>2</v>
      </c>
      <c r="J35" s="570">
        <v>21</v>
      </c>
      <c r="K35" s="570">
        <v>0</v>
      </c>
      <c r="L35" s="570">
        <f t="shared" si="1"/>
        <v>500</v>
      </c>
      <c r="M35" s="9">
        <f t="shared" si="2"/>
        <v>0</v>
      </c>
      <c r="N35" s="9"/>
    </row>
    <row r="36" spans="1:14" ht="15.75" customHeight="1">
      <c r="A36" s="179">
        <v>26</v>
      </c>
      <c r="B36" s="557" t="s">
        <v>850</v>
      </c>
      <c r="C36" s="570">
        <v>315</v>
      </c>
      <c r="D36" s="570">
        <v>2</v>
      </c>
      <c r="E36" s="570">
        <v>15</v>
      </c>
      <c r="F36" s="570">
        <v>0</v>
      </c>
      <c r="G36" s="570">
        <f t="shared" si="0"/>
        <v>332</v>
      </c>
      <c r="H36" s="570">
        <v>315</v>
      </c>
      <c r="I36" s="570">
        <v>2</v>
      </c>
      <c r="J36" s="570">
        <v>15</v>
      </c>
      <c r="K36" s="570">
        <v>0</v>
      </c>
      <c r="L36" s="570">
        <f t="shared" si="1"/>
        <v>332</v>
      </c>
      <c r="M36" s="9">
        <f t="shared" si="2"/>
        <v>0</v>
      </c>
      <c r="N36" s="9"/>
    </row>
    <row r="37" spans="1:14" ht="15.75" customHeight="1">
      <c r="A37" s="179">
        <v>27</v>
      </c>
      <c r="B37" s="562" t="s">
        <v>851</v>
      </c>
      <c r="C37" s="570">
        <v>372</v>
      </c>
      <c r="D37" s="570">
        <v>0</v>
      </c>
      <c r="E37" s="570">
        <v>20</v>
      </c>
      <c r="F37" s="570">
        <v>0</v>
      </c>
      <c r="G37" s="570">
        <f>C37+D37+E37+F37</f>
        <v>392</v>
      </c>
      <c r="H37" s="570">
        <v>372</v>
      </c>
      <c r="I37" s="570">
        <v>0</v>
      </c>
      <c r="J37" s="570">
        <v>20</v>
      </c>
      <c r="K37" s="570">
        <v>0</v>
      </c>
      <c r="L37" s="570">
        <f t="shared" si="1"/>
        <v>392</v>
      </c>
      <c r="M37" s="9">
        <f t="shared" si="2"/>
        <v>0</v>
      </c>
      <c r="N37" s="9"/>
    </row>
    <row r="38" spans="1:14" ht="15.75" customHeight="1">
      <c r="A38" s="179">
        <v>28</v>
      </c>
      <c r="B38" s="563" t="s">
        <v>852</v>
      </c>
      <c r="C38" s="570">
        <v>232</v>
      </c>
      <c r="D38" s="570">
        <v>0</v>
      </c>
      <c r="E38" s="570">
        <v>9</v>
      </c>
      <c r="F38" s="570">
        <v>0</v>
      </c>
      <c r="G38" s="570">
        <f t="shared" si="0"/>
        <v>241</v>
      </c>
      <c r="H38" s="570">
        <v>232</v>
      </c>
      <c r="I38" s="570">
        <v>0</v>
      </c>
      <c r="J38" s="570">
        <v>9</v>
      </c>
      <c r="K38" s="570">
        <v>0</v>
      </c>
      <c r="L38" s="570">
        <f t="shared" si="1"/>
        <v>241</v>
      </c>
      <c r="M38" s="9">
        <f t="shared" si="2"/>
        <v>0</v>
      </c>
      <c r="N38" s="9"/>
    </row>
    <row r="39" spans="1:14" ht="15">
      <c r="A39" s="179">
        <v>29</v>
      </c>
      <c r="B39" s="563" t="s">
        <v>1041</v>
      </c>
      <c r="C39" s="570">
        <v>440</v>
      </c>
      <c r="D39" s="570">
        <v>0</v>
      </c>
      <c r="E39" s="570">
        <v>34</v>
      </c>
      <c r="F39" s="570">
        <v>0</v>
      </c>
      <c r="G39" s="570">
        <f t="shared" si="0"/>
        <v>474</v>
      </c>
      <c r="H39" s="570">
        <v>440</v>
      </c>
      <c r="I39" s="570">
        <v>0</v>
      </c>
      <c r="J39" s="570">
        <v>34</v>
      </c>
      <c r="K39" s="570">
        <v>0</v>
      </c>
      <c r="L39" s="570">
        <f t="shared" si="1"/>
        <v>474</v>
      </c>
      <c r="M39" s="9">
        <f t="shared" si="2"/>
        <v>0</v>
      </c>
      <c r="N39" s="9"/>
    </row>
    <row r="40" spans="1:14" ht="24">
      <c r="A40" s="179">
        <v>30</v>
      </c>
      <c r="B40" s="563" t="s">
        <v>1042</v>
      </c>
      <c r="C40" s="570">
        <v>538</v>
      </c>
      <c r="D40" s="570">
        <v>0</v>
      </c>
      <c r="E40" s="570">
        <v>15</v>
      </c>
      <c r="F40" s="570">
        <v>0</v>
      </c>
      <c r="G40" s="570">
        <f t="shared" si="0"/>
        <v>553</v>
      </c>
      <c r="H40" s="570">
        <v>538</v>
      </c>
      <c r="I40" s="570">
        <v>0</v>
      </c>
      <c r="J40" s="570">
        <v>15</v>
      </c>
      <c r="K40" s="570">
        <v>0</v>
      </c>
      <c r="L40" s="570">
        <f t="shared" si="1"/>
        <v>553</v>
      </c>
      <c r="M40" s="9">
        <f t="shared" si="2"/>
        <v>0</v>
      </c>
      <c r="N40" s="9"/>
    </row>
    <row r="41" spans="1:14" ht="15">
      <c r="A41" s="179">
        <v>31</v>
      </c>
      <c r="B41" s="563" t="s">
        <v>1043</v>
      </c>
      <c r="C41" s="570">
        <v>498</v>
      </c>
      <c r="D41" s="570">
        <v>0</v>
      </c>
      <c r="E41" s="570">
        <v>37</v>
      </c>
      <c r="F41" s="570">
        <v>0</v>
      </c>
      <c r="G41" s="570">
        <f t="shared" si="0"/>
        <v>535</v>
      </c>
      <c r="H41" s="570">
        <v>498</v>
      </c>
      <c r="I41" s="570">
        <v>0</v>
      </c>
      <c r="J41" s="570">
        <v>37</v>
      </c>
      <c r="K41" s="570">
        <v>0</v>
      </c>
      <c r="L41" s="570">
        <f t="shared" si="1"/>
        <v>535</v>
      </c>
      <c r="M41" s="9">
        <f t="shared" si="2"/>
        <v>0</v>
      </c>
      <c r="N41" s="9"/>
    </row>
    <row r="42" spans="1:14" ht="15">
      <c r="A42" s="179">
        <v>32</v>
      </c>
      <c r="B42" s="563" t="s">
        <v>1044</v>
      </c>
      <c r="C42" s="570">
        <v>532</v>
      </c>
      <c r="D42" s="570">
        <v>0</v>
      </c>
      <c r="E42" s="570">
        <v>12</v>
      </c>
      <c r="F42" s="570">
        <v>0</v>
      </c>
      <c r="G42" s="570">
        <f t="shared" si="0"/>
        <v>544</v>
      </c>
      <c r="H42" s="570">
        <v>532</v>
      </c>
      <c r="I42" s="570">
        <v>0</v>
      </c>
      <c r="J42" s="570">
        <v>12</v>
      </c>
      <c r="K42" s="570">
        <v>0</v>
      </c>
      <c r="L42" s="570">
        <f t="shared" si="1"/>
        <v>544</v>
      </c>
      <c r="M42" s="9">
        <f t="shared" si="2"/>
        <v>0</v>
      </c>
      <c r="N42" s="9"/>
    </row>
    <row r="43" spans="1:14" ht="15">
      <c r="A43" s="179">
        <v>33</v>
      </c>
      <c r="B43" s="563" t="s">
        <v>857</v>
      </c>
      <c r="C43" s="570">
        <v>513</v>
      </c>
      <c r="D43" s="570">
        <v>0</v>
      </c>
      <c r="E43" s="570">
        <v>29</v>
      </c>
      <c r="F43" s="570">
        <v>0</v>
      </c>
      <c r="G43" s="570">
        <f t="shared" si="0"/>
        <v>542</v>
      </c>
      <c r="H43" s="570">
        <v>513</v>
      </c>
      <c r="I43" s="570">
        <v>0</v>
      </c>
      <c r="J43" s="570">
        <v>29</v>
      </c>
      <c r="K43" s="570">
        <v>0</v>
      </c>
      <c r="L43" s="570">
        <f t="shared" si="1"/>
        <v>542</v>
      </c>
      <c r="M43" s="9">
        <f t="shared" si="2"/>
        <v>0</v>
      </c>
      <c r="N43" s="9"/>
    </row>
    <row r="44" spans="1:14" ht="15">
      <c r="A44" s="3" t="s">
        <v>18</v>
      </c>
      <c r="B44" s="9"/>
      <c r="C44" s="570">
        <f>SUM(C11:C43)</f>
        <v>20547</v>
      </c>
      <c r="D44" s="570">
        <f t="shared" ref="D44:L44" si="3">SUM(D11:D43)</f>
        <v>250</v>
      </c>
      <c r="E44" s="570">
        <f t="shared" si="3"/>
        <v>1317</v>
      </c>
      <c r="F44" s="570">
        <f t="shared" si="3"/>
        <v>1</v>
      </c>
      <c r="G44" s="570">
        <f t="shared" si="3"/>
        <v>22115</v>
      </c>
      <c r="H44" s="570">
        <f t="shared" si="3"/>
        <v>20547</v>
      </c>
      <c r="I44" s="570">
        <f t="shared" si="3"/>
        <v>250</v>
      </c>
      <c r="J44" s="570">
        <f t="shared" si="3"/>
        <v>1317</v>
      </c>
      <c r="K44" s="570">
        <f t="shared" si="3"/>
        <v>1</v>
      </c>
      <c r="L44" s="570">
        <f t="shared" si="3"/>
        <v>22115</v>
      </c>
      <c r="M44" s="29">
        <f>G44-L44</f>
        <v>0</v>
      </c>
      <c r="N44" s="9"/>
    </row>
    <row r="45" spans="1:14">
      <c r="A45" s="12"/>
      <c r="B45" s="13"/>
      <c r="C45" s="13">
        <f>C44+'AT3A_cvrg(Insti)_PY'!C45</f>
        <v>31653</v>
      </c>
      <c r="D45" s="13">
        <f>D44+'AT3A_cvrg(Insti)_PY'!D45</f>
        <v>308</v>
      </c>
      <c r="E45" s="13">
        <f>E44+'AT3A_cvrg(Insti)_PY'!E45</f>
        <v>1572</v>
      </c>
      <c r="F45" s="13">
        <f>F44+'AT3A_cvrg(Insti)_PY'!F45</f>
        <v>2</v>
      </c>
      <c r="G45" s="13">
        <f>G44+'AT3A_cvrg(Insti)_PY'!G45</f>
        <v>33535</v>
      </c>
      <c r="H45" s="13">
        <f>H44+'AT3A_cvrg(Insti)_PY'!H45</f>
        <v>31653</v>
      </c>
      <c r="I45" s="13">
        <f>I44+'AT3A_cvrg(Insti)_PY'!I45</f>
        <v>308</v>
      </c>
      <c r="J45" s="13">
        <f>J44+'AT3A_cvrg(Insti)_PY'!J45</f>
        <v>1572</v>
      </c>
      <c r="K45" s="13">
        <f>K44+'AT3A_cvrg(Insti)_PY'!K45</f>
        <v>2</v>
      </c>
      <c r="L45" s="13">
        <f>L44+'AT3A_cvrg(Insti)_PY'!L45</f>
        <v>33535</v>
      </c>
      <c r="M45" s="13"/>
      <c r="N45" s="13"/>
    </row>
    <row r="46" spans="1:14">
      <c r="A46" s="11" t="s">
        <v>8</v>
      </c>
    </row>
    <row r="47" spans="1:14">
      <c r="A47" t="s">
        <v>9</v>
      </c>
    </row>
    <row r="48" spans="1:14">
      <c r="A48" t="s">
        <v>10</v>
      </c>
      <c r="L48" s="12" t="s">
        <v>11</v>
      </c>
      <c r="M48" s="12"/>
      <c r="N48" s="12" t="s">
        <v>11</v>
      </c>
    </row>
    <row r="49" spans="1:15">
      <c r="A49" s="16" t="s">
        <v>429</v>
      </c>
      <c r="J49" s="12"/>
      <c r="K49" s="12"/>
      <c r="L49" s="12"/>
    </row>
    <row r="50" spans="1:15">
      <c r="C50" s="16" t="s">
        <v>430</v>
      </c>
      <c r="E50" s="13"/>
      <c r="F50" s="13"/>
      <c r="G50" s="13"/>
      <c r="H50" s="13"/>
      <c r="I50" s="13"/>
      <c r="J50" s="13"/>
      <c r="K50" s="13"/>
      <c r="L50" s="13"/>
      <c r="M50" s="13"/>
    </row>
    <row r="51" spans="1:15">
      <c r="E51" s="13"/>
      <c r="F51" s="13"/>
      <c r="G51" s="13"/>
      <c r="H51" s="13"/>
      <c r="I51" s="13"/>
      <c r="J51" s="13"/>
      <c r="K51" s="13"/>
      <c r="L51" s="13"/>
      <c r="M51" s="13"/>
      <c r="N51" s="13"/>
    </row>
    <row r="52" spans="1:15">
      <c r="E52" s="13"/>
      <c r="F52" s="13"/>
      <c r="G52" s="13"/>
      <c r="H52" s="13"/>
      <c r="I52" s="13"/>
      <c r="J52" s="13"/>
      <c r="K52" s="13"/>
      <c r="L52" s="13"/>
      <c r="M52" s="13"/>
      <c r="N52" s="13"/>
    </row>
    <row r="53" spans="1:15" ht="15.75">
      <c r="A53" s="14" t="s">
        <v>12</v>
      </c>
      <c r="B53" s="14"/>
      <c r="C53" s="14"/>
      <c r="D53" s="14"/>
      <c r="E53" s="14"/>
      <c r="F53" s="14"/>
      <c r="G53" s="14"/>
      <c r="J53" s="15"/>
      <c r="K53" s="1187"/>
      <c r="L53" s="1188"/>
      <c r="M53" s="1189"/>
      <c r="N53" s="1189"/>
      <c r="O53" s="1189"/>
    </row>
    <row r="54" spans="1:15" ht="15.6" customHeight="1">
      <c r="B54" s="989"/>
      <c r="C54" s="989"/>
      <c r="D54" s="989"/>
      <c r="E54" s="989"/>
      <c r="F54" s="989"/>
      <c r="G54" s="989"/>
      <c r="H54" s="989"/>
      <c r="I54" s="989"/>
      <c r="J54" s="989"/>
      <c r="K54" s="1040" t="s">
        <v>1106</v>
      </c>
      <c r="L54" s="1040"/>
      <c r="M54" s="1040"/>
      <c r="N54" s="989"/>
    </row>
    <row r="55" spans="1:15" ht="15.6" customHeight="1">
      <c r="B55" s="989"/>
      <c r="C55" s="989"/>
      <c r="D55" s="989"/>
      <c r="E55" s="989"/>
      <c r="F55" s="989"/>
      <c r="G55" s="989"/>
      <c r="H55" s="989"/>
      <c r="I55" s="989"/>
      <c r="J55" s="989"/>
      <c r="K55" s="1040" t="s">
        <v>481</v>
      </c>
      <c r="L55" s="1040"/>
      <c r="M55" s="1040"/>
      <c r="N55" s="989"/>
    </row>
    <row r="56" spans="1:15" ht="15.6" customHeight="1">
      <c r="A56" s="989" t="s">
        <v>1105</v>
      </c>
      <c r="B56" s="989"/>
      <c r="C56" s="989"/>
      <c r="D56" s="989"/>
      <c r="E56" s="989"/>
      <c r="F56" s="989"/>
      <c r="G56" s="989"/>
      <c r="H56" s="989"/>
      <c r="I56" s="989"/>
      <c r="J56" s="989"/>
      <c r="K56" s="1040" t="s">
        <v>1107</v>
      </c>
      <c r="L56" s="1040"/>
      <c r="M56" s="1040"/>
      <c r="N56" s="989"/>
    </row>
    <row r="57" spans="1:15">
      <c r="K57" s="1092"/>
      <c r="L57" s="1092"/>
      <c r="M57" s="1092"/>
      <c r="N57" s="1092"/>
    </row>
    <row r="58" spans="1:15">
      <c r="A58" s="1186"/>
      <c r="B58" s="1186"/>
      <c r="C58" s="1186"/>
      <c r="D58" s="1186"/>
      <c r="E58" s="1186"/>
      <c r="F58" s="1186"/>
      <c r="G58" s="1186"/>
      <c r="H58" s="1186"/>
      <c r="I58" s="1186"/>
      <c r="J58" s="1186"/>
      <c r="K58" s="1186"/>
      <c r="L58" s="1186"/>
      <c r="M58" s="1186"/>
      <c r="N58" s="1186"/>
    </row>
  </sheetData>
  <mergeCells count="19">
    <mergeCell ref="D1:J1"/>
    <mergeCell ref="A2:N2"/>
    <mergeCell ref="A3:N3"/>
    <mergeCell ref="A5:N5"/>
    <mergeCell ref="L7:N7"/>
    <mergeCell ref="A7:B7"/>
    <mergeCell ref="H8:L8"/>
    <mergeCell ref="M8:M9"/>
    <mergeCell ref="N8:N9"/>
    <mergeCell ref="A8:A9"/>
    <mergeCell ref="B8:B9"/>
    <mergeCell ref="C8:G8"/>
    <mergeCell ref="A58:N58"/>
    <mergeCell ref="K53:L53"/>
    <mergeCell ref="M53:O53"/>
    <mergeCell ref="K57:N57"/>
    <mergeCell ref="K54:M54"/>
    <mergeCell ref="K55:M55"/>
    <mergeCell ref="K56:M56"/>
  </mergeCells>
  <phoneticPr fontId="0" type="noConversion"/>
  <printOptions horizontalCentered="1"/>
  <pageMargins left="0.70866141732283472" right="0.70866141732283472" top="0.63" bottom="0" header="0.79"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60</vt:i4>
      </vt:variant>
    </vt:vector>
  </HeadingPairs>
  <TitlesOfParts>
    <vt:vector size="129"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 Drinking Water</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AT29_K_D</vt:lpstr>
      <vt:lpstr>NEW ITEM K_D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 Drinking Water'!Print_Area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'AT-24'!Print_Area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AT29_K_D!Print_Area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2018-06-04T04:42:07Z</cp:lastPrinted>
  <dcterms:created xsi:type="dcterms:W3CDTF">1996-10-14T23:33:28Z</dcterms:created>
  <dcterms:modified xsi:type="dcterms:W3CDTF">2018-06-06T10:59:15Z</dcterms:modified>
</cp:coreProperties>
</file>